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nte/Downloads/"/>
    </mc:Choice>
  </mc:AlternateContent>
  <xr:revisionPtr revIDLastSave="0" documentId="8_{E769D9AC-2B0C-2247-ACB6-BC6B497631A2}" xr6:coauthVersionLast="47" xr6:coauthVersionMax="47" xr10:uidLastSave="{00000000-0000-0000-0000-000000000000}"/>
  <bookViews>
    <workbookView xWindow="0" yWindow="500" windowWidth="28800" windowHeight="16220" firstSheet="7" activeTab="7" xr2:uid="{C7BACD30-29C5-4E3F-99EE-B327E30DF48A}"/>
  </bookViews>
  <sheets>
    <sheet name="Invul toelichting" sheetId="34" r:id="rId1"/>
    <sheet name="Titelblad" sheetId="39" r:id="rId2"/>
    <sheet name="Invulblad WB" sheetId="31" r:id="rId3"/>
    <sheet name="Invulblad NWB" sheetId="32" r:id="rId4"/>
    <sheet name="Invulblad grex" sheetId="12" r:id="rId5"/>
    <sheet name="Dashboard project" sheetId="13" r:id="rId6"/>
    <sheet name="Dashboard per categorie" sheetId="33" r:id="rId7"/>
    <sheet name="Kengetallen" sheetId="38" r:id="rId8"/>
    <sheet name="hulp" sheetId="3" state="hidden" r:id="rId9"/>
    <sheet name="Kladblok 1" sheetId="41" r:id="rId10"/>
    <sheet name="Kladblok 2" sheetId="42" r:id="rId11"/>
    <sheet name="Kladblok 3" sheetId="43" r:id="rId12"/>
  </sheets>
  <definedNames>
    <definedName name="_xlnm.Print_Area" localSheetId="6">'Dashboard per categorie'!$A$1:$I$82</definedName>
    <definedName name="_xlnm.Print_Area" localSheetId="5">'Dashboard project'!$A$5:$BG$45</definedName>
    <definedName name="_xlnm.Print_Area" localSheetId="3">'Invulblad NWB'!$A$1:$Z$28</definedName>
    <definedName name="_xlnm.Print_Area" localSheetId="2">'Invulblad WB'!$A$1:$AB$31</definedName>
    <definedName name="_xlnm.Print_Area" localSheetId="7">Kengetallen!$A$1:$M$84</definedName>
    <definedName name="_xlnm.Print_Area" localSheetId="1">Titelblad!$A$1:$G$22</definedName>
    <definedName name="AK" localSheetId="2">#REF!</definedName>
    <definedName name="AK">#REF!</definedName>
    <definedName name="BKK" localSheetId="2">#REF!</definedName>
    <definedName name="BKK">#REF!</definedName>
    <definedName name="EndColTF">'Dashboard project'!$BG$1</definedName>
    <definedName name="Huur_AantalRegels">'Invulblad WB'!$B$4</definedName>
    <definedName name="Huur_Eind">'Invulblad WB'!$A$13</definedName>
    <definedName name="Huur_Start">'Invulblad WB'!$A$5</definedName>
    <definedName name="HuurRegel">'Invulblad WB'!$A$205</definedName>
    <definedName name="Koop_AantalRegels">'Invulblad WB'!$B$15</definedName>
    <definedName name="Koop_Eind">'Invulblad WB'!$A$28</definedName>
    <definedName name="Koop_Start">'Invulblad WB'!$A$16</definedName>
    <definedName name="Koopregel">'Invulblad WB'!$A$208</definedName>
    <definedName name="NWB_AantalRegels">'Invulblad NWB'!$B$4</definedName>
    <definedName name="NWB_Eind">'Invulblad NWB'!$A$12</definedName>
    <definedName name="NWB_Start">'Invulblad NWB'!$A$5</definedName>
    <definedName name="NWBRegel">'Invulblad NWB'!$A$206</definedName>
    <definedName name="ParkeerRegel">'Invulblad NWB'!$A$210</definedName>
    <definedName name="Parkeren_AantalRegels">'Invulblad NWB'!$B$14</definedName>
    <definedName name="Parkeren_Eind">'Invulblad NWB'!$A$25</definedName>
    <definedName name="Parkeren_Start">'Invulblad NWB'!$A$15</definedName>
    <definedName name="StartColTF">'Dashboard project'!$P$1</definedName>
    <definedName name="WR" localSheetId="2">#REF!</definedName>
    <definedName name="W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3" l="1"/>
  <c r="M12" i="13"/>
  <c r="D60" i="33"/>
  <c r="H60" i="33" s="1"/>
  <c r="D61" i="33"/>
  <c r="H61" i="33" s="1"/>
  <c r="D62" i="33"/>
  <c r="H62" i="33" s="1"/>
  <c r="D63" i="33"/>
  <c r="H63" i="33" s="1"/>
  <c r="D59" i="33"/>
  <c r="H59" i="33" s="1"/>
  <c r="C60" i="33"/>
  <c r="F60" i="33" s="1"/>
  <c r="C61" i="33"/>
  <c r="I61" i="33" s="1"/>
  <c r="C62" i="33"/>
  <c r="I62" i="33" s="1"/>
  <c r="C63" i="33"/>
  <c r="F63" i="33" s="1"/>
  <c r="C59" i="33"/>
  <c r="I59" i="33" s="1"/>
  <c r="AG11" i="13"/>
  <c r="F61" i="33" l="1"/>
  <c r="F62" i="33"/>
  <c r="J59" i="33"/>
  <c r="C64" i="33"/>
  <c r="I60" i="33"/>
  <c r="F59" i="33"/>
  <c r="I63" i="33"/>
  <c r="BO16" i="32"/>
  <c r="AV6" i="32"/>
  <c r="U23" i="32" l="1"/>
  <c r="Y23" i="32" s="1"/>
  <c r="U22" i="32"/>
  <c r="Y22" i="32" s="1"/>
  <c r="U21" i="32"/>
  <c r="Y21" i="32" s="1"/>
  <c r="U20" i="32"/>
  <c r="Y20" i="32" s="1"/>
  <c r="L18" i="32"/>
  <c r="M18" i="32" s="1"/>
  <c r="L19" i="32"/>
  <c r="M19" i="32" s="1"/>
  <c r="X19" i="32" s="1"/>
  <c r="AY19" i="32" s="1"/>
  <c r="L20" i="32"/>
  <c r="M20" i="32" s="1"/>
  <c r="X20" i="32" s="1"/>
  <c r="AY20" i="32" s="1"/>
  <c r="L21" i="32"/>
  <c r="M21" i="32" s="1"/>
  <c r="X21" i="32" s="1"/>
  <c r="L22" i="32"/>
  <c r="M22" i="32" s="1"/>
  <c r="X22" i="32" s="1"/>
  <c r="CB22" i="32" s="1"/>
  <c r="L23" i="32"/>
  <c r="M23" i="32" s="1"/>
  <c r="X23" i="32" s="1"/>
  <c r="E18" i="32"/>
  <c r="BJ18" i="32" s="1"/>
  <c r="E19" i="32"/>
  <c r="AF19" i="32" s="1"/>
  <c r="E20" i="32"/>
  <c r="AF20" i="32" s="1"/>
  <c r="E21" i="32"/>
  <c r="AM21" i="32" s="1"/>
  <c r="E22" i="32"/>
  <c r="BJ22" i="32" s="1"/>
  <c r="E23" i="32"/>
  <c r="AM23" i="32" s="1"/>
  <c r="AB17" i="32"/>
  <c r="AD17" i="32"/>
  <c r="AE17" i="32"/>
  <c r="AG17" i="32"/>
  <c r="AH17" i="32"/>
  <c r="AI17" i="32"/>
  <c r="AL17" i="32"/>
  <c r="AN17" i="32"/>
  <c r="AO17" i="32"/>
  <c r="AP17" i="32"/>
  <c r="AU17" i="32"/>
  <c r="AW17" i="32"/>
  <c r="AZ17" i="32"/>
  <c r="BA17" i="32"/>
  <c r="BB17" i="32"/>
  <c r="BC17" i="32"/>
  <c r="BD17" i="32"/>
  <c r="BI17" i="32"/>
  <c r="BJ17" i="32"/>
  <c r="BK17" i="32"/>
  <c r="BL17" i="32"/>
  <c r="BM17" i="32"/>
  <c r="BO17" i="32"/>
  <c r="BP17" i="32"/>
  <c r="BQ17" i="32"/>
  <c r="BR17" i="32"/>
  <c r="BS17" i="32"/>
  <c r="BX17" i="32"/>
  <c r="BZ17" i="32"/>
  <c r="CC17" i="32"/>
  <c r="CD17" i="32"/>
  <c r="CE17" i="32"/>
  <c r="CF17" i="32"/>
  <c r="CG17" i="32"/>
  <c r="AB18" i="32"/>
  <c r="AD18" i="32"/>
  <c r="AE18" i="32"/>
  <c r="AG18" i="32"/>
  <c r="AH18" i="32"/>
  <c r="AI18" i="32"/>
  <c r="AL18" i="32"/>
  <c r="AN18" i="32"/>
  <c r="AO18" i="32"/>
  <c r="AP18" i="32"/>
  <c r="AU18" i="32"/>
  <c r="AW18" i="32"/>
  <c r="AZ18" i="32"/>
  <c r="BA18" i="32"/>
  <c r="BB18" i="32"/>
  <c r="BC18" i="32"/>
  <c r="BD18" i="32"/>
  <c r="BI18" i="32"/>
  <c r="BK18" i="32"/>
  <c r="BL18" i="32"/>
  <c r="BM18" i="32"/>
  <c r="BO18" i="32"/>
  <c r="BP18" i="32"/>
  <c r="BQ18" i="32"/>
  <c r="BR18" i="32"/>
  <c r="BS18" i="32"/>
  <c r="BX18" i="32"/>
  <c r="BZ18" i="32"/>
  <c r="CC18" i="32"/>
  <c r="CD18" i="32"/>
  <c r="CE18" i="32"/>
  <c r="CF18" i="32"/>
  <c r="CG18" i="32"/>
  <c r="AB19" i="32"/>
  <c r="AD19" i="32"/>
  <c r="AE19" i="32"/>
  <c r="AG19" i="32"/>
  <c r="AH19" i="32"/>
  <c r="AI19" i="32"/>
  <c r="AL19" i="32"/>
  <c r="AN19" i="32"/>
  <c r="AO19" i="32"/>
  <c r="AP19" i="32"/>
  <c r="AQ19" i="32"/>
  <c r="AU19" i="32"/>
  <c r="AW19" i="32"/>
  <c r="AZ19" i="32"/>
  <c r="BA19" i="32"/>
  <c r="BB19" i="32"/>
  <c r="BC19" i="32"/>
  <c r="BD19" i="32"/>
  <c r="BE19" i="32"/>
  <c r="BI19" i="32"/>
  <c r="BK19" i="32"/>
  <c r="BL19" i="32"/>
  <c r="BM19" i="32"/>
  <c r="BO19" i="32"/>
  <c r="BP19" i="32"/>
  <c r="BQ19" i="32"/>
  <c r="BR19" i="32"/>
  <c r="BS19" i="32"/>
  <c r="BT19" i="32"/>
  <c r="BX19" i="32"/>
  <c r="BY19" i="32"/>
  <c r="BZ19" i="32"/>
  <c r="CC19" i="32"/>
  <c r="CD19" i="32"/>
  <c r="CE19" i="32"/>
  <c r="CF19" i="32"/>
  <c r="CG19" i="32"/>
  <c r="CH19" i="32"/>
  <c r="AB20" i="32"/>
  <c r="AD20" i="32"/>
  <c r="AE20" i="32"/>
  <c r="AG20" i="32"/>
  <c r="AH20" i="32"/>
  <c r="AI20" i="32"/>
  <c r="AL20" i="32"/>
  <c r="AN20" i="32"/>
  <c r="AO20" i="32"/>
  <c r="AP20" i="32"/>
  <c r="AQ20" i="32"/>
  <c r="AU20" i="32"/>
  <c r="AW20" i="32"/>
  <c r="AZ20" i="32"/>
  <c r="BA20" i="32"/>
  <c r="BB20" i="32"/>
  <c r="BC20" i="32"/>
  <c r="BD20" i="32"/>
  <c r="BE20" i="32"/>
  <c r="BI20" i="32"/>
  <c r="BK20" i="32"/>
  <c r="BL20" i="32"/>
  <c r="BM20" i="32"/>
  <c r="BO20" i="32"/>
  <c r="BP20" i="32"/>
  <c r="BQ20" i="32"/>
  <c r="BR20" i="32"/>
  <c r="BS20" i="32"/>
  <c r="BT20" i="32"/>
  <c r="BX20" i="32"/>
  <c r="BZ20" i="32"/>
  <c r="CC20" i="32"/>
  <c r="CD20" i="32"/>
  <c r="CE20" i="32"/>
  <c r="CF20" i="32"/>
  <c r="CG20" i="32"/>
  <c r="CH20" i="32"/>
  <c r="AB21" i="32"/>
  <c r="AD21" i="32"/>
  <c r="AE21" i="32"/>
  <c r="AG21" i="32"/>
  <c r="AH21" i="32"/>
  <c r="AI21" i="32"/>
  <c r="AL21" i="32"/>
  <c r="AN21" i="32"/>
  <c r="AO21" i="32"/>
  <c r="AP21" i="32"/>
  <c r="AQ21" i="32"/>
  <c r="AU21" i="32"/>
  <c r="AV21" i="32"/>
  <c r="AW21" i="32"/>
  <c r="AZ21" i="32"/>
  <c r="BA21" i="32"/>
  <c r="BB21" i="32"/>
  <c r="BC21" i="32"/>
  <c r="BD21" i="32"/>
  <c r="BE21" i="32"/>
  <c r="BI21" i="32"/>
  <c r="BK21" i="32"/>
  <c r="BL21" i="32"/>
  <c r="BM21" i="32"/>
  <c r="BO21" i="32"/>
  <c r="BP21" i="32"/>
  <c r="BQ21" i="32"/>
  <c r="BR21" i="32"/>
  <c r="BS21" i="32"/>
  <c r="BT21" i="32"/>
  <c r="BX21" i="32"/>
  <c r="BZ21" i="32"/>
  <c r="CC21" i="32"/>
  <c r="CD21" i="32"/>
  <c r="CE21" i="32"/>
  <c r="CF21" i="32"/>
  <c r="CG21" i="32"/>
  <c r="CH21" i="32"/>
  <c r="AB22" i="32"/>
  <c r="AD22" i="32"/>
  <c r="AE22" i="32"/>
  <c r="AG22" i="32"/>
  <c r="AH22" i="32"/>
  <c r="AI22" i="32"/>
  <c r="AL22" i="32"/>
  <c r="AN22" i="32"/>
  <c r="AO22" i="32"/>
  <c r="AP22" i="32"/>
  <c r="AQ22" i="32"/>
  <c r="AU22" i="32"/>
  <c r="AW22" i="32"/>
  <c r="AZ22" i="32"/>
  <c r="BA22" i="32"/>
  <c r="BB22" i="32"/>
  <c r="BC22" i="32"/>
  <c r="BD22" i="32"/>
  <c r="BE22" i="32"/>
  <c r="BI22" i="32"/>
  <c r="BK22" i="32"/>
  <c r="BL22" i="32"/>
  <c r="BM22" i="32"/>
  <c r="BO22" i="32"/>
  <c r="BP22" i="32"/>
  <c r="BQ22" i="32"/>
  <c r="BR22" i="32"/>
  <c r="BS22" i="32"/>
  <c r="BT22" i="32"/>
  <c r="BX22" i="32"/>
  <c r="BZ22" i="32"/>
  <c r="CC22" i="32"/>
  <c r="CD22" i="32"/>
  <c r="CE22" i="32"/>
  <c r="CF22" i="32"/>
  <c r="CG22" i="32"/>
  <c r="CH22" i="32"/>
  <c r="AB23" i="32"/>
  <c r="AD23" i="32"/>
  <c r="AE23" i="32"/>
  <c r="AG23" i="32"/>
  <c r="AH23" i="32"/>
  <c r="AI23" i="32"/>
  <c r="AL23" i="32"/>
  <c r="AN23" i="32"/>
  <c r="AO23" i="32"/>
  <c r="AP23" i="32"/>
  <c r="AQ23" i="32"/>
  <c r="AU23" i="32"/>
  <c r="AW23" i="32"/>
  <c r="AZ23" i="32"/>
  <c r="BA23" i="32"/>
  <c r="BB23" i="32"/>
  <c r="BC23" i="32"/>
  <c r="BD23" i="32"/>
  <c r="BE23" i="32"/>
  <c r="BI23" i="32"/>
  <c r="BK23" i="32"/>
  <c r="BL23" i="32"/>
  <c r="BM23" i="32"/>
  <c r="BO23" i="32"/>
  <c r="BP23" i="32"/>
  <c r="BQ23" i="32"/>
  <c r="BR23" i="32"/>
  <c r="BS23" i="32"/>
  <c r="BT23" i="32"/>
  <c r="BX23" i="32"/>
  <c r="BZ23" i="32"/>
  <c r="CC23" i="32"/>
  <c r="CD23" i="32"/>
  <c r="CE23" i="32"/>
  <c r="CF23" i="32"/>
  <c r="CG23" i="32"/>
  <c r="CH23" i="32"/>
  <c r="AB24" i="32"/>
  <c r="AD24" i="32"/>
  <c r="AE24" i="32"/>
  <c r="AF24" i="32"/>
  <c r="AG24" i="32"/>
  <c r="AH24" i="32"/>
  <c r="AI24" i="32"/>
  <c r="AJ24" i="32"/>
  <c r="AL24" i="32"/>
  <c r="AM24" i="32"/>
  <c r="AN24" i="32"/>
  <c r="AO24" i="32"/>
  <c r="AP24" i="32"/>
  <c r="AQ24" i="32"/>
  <c r="AR24" i="32"/>
  <c r="AS24" i="32"/>
  <c r="AU24" i="32"/>
  <c r="AV24" i="32"/>
  <c r="AW24" i="32"/>
  <c r="AY24" i="32"/>
  <c r="AZ24" i="32"/>
  <c r="BA24" i="32"/>
  <c r="BB24" i="32"/>
  <c r="BC24" i="32"/>
  <c r="BD24" i="32"/>
  <c r="BE24" i="32"/>
  <c r="BF24" i="32"/>
  <c r="BG24" i="32"/>
  <c r="BI24" i="32"/>
  <c r="BJ24" i="32"/>
  <c r="BK24" i="32"/>
  <c r="BL24" i="32"/>
  <c r="BM24" i="32"/>
  <c r="BN24" i="32"/>
  <c r="BO24" i="32"/>
  <c r="BP24" i="32"/>
  <c r="BQ24" i="32"/>
  <c r="BR24" i="32"/>
  <c r="BS24" i="32"/>
  <c r="BT24" i="32"/>
  <c r="BU24" i="32"/>
  <c r="BV24" i="32"/>
  <c r="BX24" i="32"/>
  <c r="BY24" i="32"/>
  <c r="BZ24" i="32"/>
  <c r="CB24" i="32"/>
  <c r="CC24" i="32"/>
  <c r="CD24" i="32"/>
  <c r="CE24" i="32"/>
  <c r="CF24" i="32"/>
  <c r="CG24" i="32"/>
  <c r="CH24" i="32"/>
  <c r="CI24" i="32"/>
  <c r="CJ24" i="32"/>
  <c r="U19" i="32"/>
  <c r="Y19" i="32" s="1"/>
  <c r="AR19" i="32" s="1"/>
  <c r="E17" i="32"/>
  <c r="AF17" i="32" s="1"/>
  <c r="AB7" i="32"/>
  <c r="AC7" i="32" s="1"/>
  <c r="AF7" i="32"/>
  <c r="AL7" i="32"/>
  <c r="AM7" i="32"/>
  <c r="AO7" i="32"/>
  <c r="AV7" i="32"/>
  <c r="AZ7" i="32"/>
  <c r="BA7" i="32"/>
  <c r="BC7" i="32"/>
  <c r="AB8" i="32"/>
  <c r="AC8" i="32" s="1"/>
  <c r="AF8" i="32"/>
  <c r="AL8" i="32"/>
  <c r="AM8" i="32"/>
  <c r="AO8" i="32"/>
  <c r="AV8" i="32"/>
  <c r="AZ8" i="32"/>
  <c r="BA8" i="32"/>
  <c r="BC8" i="32"/>
  <c r="AB9" i="32"/>
  <c r="AC9" i="32" s="1"/>
  <c r="AF9" i="32"/>
  <c r="AL9" i="32"/>
  <c r="AM9" i="32"/>
  <c r="AO9" i="32"/>
  <c r="AV9" i="32"/>
  <c r="AZ9" i="32"/>
  <c r="BA9" i="32"/>
  <c r="BC9" i="32"/>
  <c r="AB10" i="32"/>
  <c r="AC10" i="32" s="1"/>
  <c r="AF10" i="32"/>
  <c r="AL10" i="32"/>
  <c r="AM10" i="32"/>
  <c r="AO10" i="32"/>
  <c r="AV10" i="32"/>
  <c r="AZ10" i="32"/>
  <c r="BA10" i="32"/>
  <c r="BC10" i="32"/>
  <c r="AP10" i="32"/>
  <c r="BD9" i="32"/>
  <c r="BD8" i="32"/>
  <c r="BD7" i="32"/>
  <c r="AN9" i="32"/>
  <c r="BB8" i="32"/>
  <c r="L10" i="32"/>
  <c r="L9" i="32"/>
  <c r="AW8" i="32"/>
  <c r="AH7" i="32"/>
  <c r="AD20" i="31"/>
  <c r="AE20" i="31"/>
  <c r="AK20" i="31"/>
  <c r="AM20" i="31"/>
  <c r="AD21" i="31"/>
  <c r="AE21" i="31"/>
  <c r="AK21" i="31"/>
  <c r="AM21" i="31"/>
  <c r="AD22" i="31"/>
  <c r="AE22" i="31"/>
  <c r="AK22" i="31"/>
  <c r="AM22" i="31"/>
  <c r="AD23" i="31"/>
  <c r="AE23" i="31"/>
  <c r="AK23" i="31"/>
  <c r="AM23" i="31"/>
  <c r="AD24" i="31"/>
  <c r="AE24" i="31"/>
  <c r="AK24" i="31"/>
  <c r="AM24" i="31"/>
  <c r="AD25" i="31"/>
  <c r="AE25" i="31"/>
  <c r="AK25" i="31"/>
  <c r="AM25" i="31"/>
  <c r="AD26" i="31"/>
  <c r="AE26" i="31"/>
  <c r="AK26" i="31"/>
  <c r="AM26" i="31"/>
  <c r="AE19" i="31"/>
  <c r="AK19" i="31"/>
  <c r="AM19" i="31"/>
  <c r="AO24" i="31"/>
  <c r="AO25" i="31"/>
  <c r="AO26" i="31"/>
  <c r="Y26" i="31"/>
  <c r="Y25" i="31"/>
  <c r="Y24" i="31"/>
  <c r="Y23" i="31"/>
  <c r="L23" i="31"/>
  <c r="Z23" i="31" s="1"/>
  <c r="L24" i="31"/>
  <c r="Z24" i="31" s="1"/>
  <c r="L25" i="31"/>
  <c r="L26" i="31"/>
  <c r="Z26" i="31" s="1"/>
  <c r="G23" i="31"/>
  <c r="G24" i="31"/>
  <c r="G25" i="31"/>
  <c r="G26" i="31"/>
  <c r="X26" i="31"/>
  <c r="X25" i="31"/>
  <c r="X24" i="31"/>
  <c r="X23" i="31"/>
  <c r="AN21" i="31"/>
  <c r="Y20" i="31"/>
  <c r="Y21" i="31"/>
  <c r="Y22" i="31"/>
  <c r="X20" i="31"/>
  <c r="X21" i="31"/>
  <c r="X22" i="31"/>
  <c r="AL20" i="31"/>
  <c r="AL19" i="31"/>
  <c r="L20" i="31"/>
  <c r="AO20" i="31" s="1"/>
  <c r="L21" i="31"/>
  <c r="Z21" i="31" s="1"/>
  <c r="L22" i="31"/>
  <c r="AO22" i="31" s="1"/>
  <c r="G20" i="31"/>
  <c r="G21" i="31"/>
  <c r="G22" i="31"/>
  <c r="Y8" i="31"/>
  <c r="Y9" i="31"/>
  <c r="Y10" i="31"/>
  <c r="Y11" i="31"/>
  <c r="X8" i="31"/>
  <c r="X9" i="31"/>
  <c r="X10" i="31"/>
  <c r="X11" i="31"/>
  <c r="K8" i="31"/>
  <c r="AE8" i="31" s="1"/>
  <c r="K9" i="31"/>
  <c r="AE9" i="31" s="1"/>
  <c r="K10" i="31"/>
  <c r="AE10" i="31" s="1"/>
  <c r="K11" i="31"/>
  <c r="AE11" i="31" s="1"/>
  <c r="G8" i="31"/>
  <c r="G9" i="31"/>
  <c r="G10" i="31"/>
  <c r="G11" i="31"/>
  <c r="AD9" i="31"/>
  <c r="AH9" i="31"/>
  <c r="AJ9" i="31"/>
  <c r="AK9" i="31"/>
  <c r="AL9" i="31"/>
  <c r="AM9" i="31"/>
  <c r="AN9" i="31"/>
  <c r="AD10" i="31"/>
  <c r="AH10" i="31"/>
  <c r="AJ10" i="31"/>
  <c r="AK10" i="31"/>
  <c r="AL10" i="31"/>
  <c r="AM10" i="31"/>
  <c r="AN10" i="31"/>
  <c r="AD11" i="31"/>
  <c r="AH11" i="31"/>
  <c r="AJ11" i="31"/>
  <c r="AK11" i="31"/>
  <c r="AL11" i="31"/>
  <c r="AM11" i="31"/>
  <c r="AN11" i="31"/>
  <c r="Y7" i="31"/>
  <c r="X7" i="31"/>
  <c r="K7" i="31"/>
  <c r="AE7" i="31" s="1"/>
  <c r="G7" i="31"/>
  <c r="AD7" i="31"/>
  <c r="AH7" i="31"/>
  <c r="AJ7" i="31"/>
  <c r="AK7" i="31"/>
  <c r="AL7" i="31"/>
  <c r="AM7" i="31"/>
  <c r="AN7" i="31"/>
  <c r="AD8" i="31"/>
  <c r="AH8" i="31"/>
  <c r="AJ8" i="31"/>
  <c r="AK8" i="31"/>
  <c r="AL8" i="31"/>
  <c r="AM8" i="31"/>
  <c r="AN8" i="31"/>
  <c r="L17" i="32"/>
  <c r="BY17" i="32" l="1"/>
  <c r="BU22" i="32"/>
  <c r="AR22" i="32"/>
  <c r="V22" i="32"/>
  <c r="W22" i="32" s="1"/>
  <c r="V21" i="32"/>
  <c r="W21" i="32" s="1"/>
  <c r="AF18" i="32"/>
  <c r="AJ25" i="31"/>
  <c r="AJ22" i="31"/>
  <c r="AJ24" i="31"/>
  <c r="AL24" i="31"/>
  <c r="AJ26" i="31"/>
  <c r="CB21" i="32"/>
  <c r="AM22" i="32"/>
  <c r="AM17" i="32"/>
  <c r="V23" i="32"/>
  <c r="Z23" i="32" s="1"/>
  <c r="BV23" i="32" s="1"/>
  <c r="V20" i="32"/>
  <c r="BE18" i="32"/>
  <c r="CH18" i="32"/>
  <c r="AQ18" i="32"/>
  <c r="BT18" i="32"/>
  <c r="AV18" i="32"/>
  <c r="AF21" i="32"/>
  <c r="AM18" i="32"/>
  <c r="BY21" i="32"/>
  <c r="BB10" i="32"/>
  <c r="AN10" i="32"/>
  <c r="BJ19" i="32"/>
  <c r="AM19" i="32"/>
  <c r="AV17" i="32"/>
  <c r="BU19" i="32"/>
  <c r="CI22" i="32"/>
  <c r="CI23" i="32"/>
  <c r="BU23" i="32"/>
  <c r="BF23" i="32"/>
  <c r="AR23" i="32"/>
  <c r="BF22" i="32"/>
  <c r="Z22" i="32"/>
  <c r="BU21" i="32"/>
  <c r="CI21" i="32"/>
  <c r="BF21" i="32"/>
  <c r="AR21" i="32"/>
  <c r="Z21" i="32"/>
  <c r="CI20" i="32"/>
  <c r="BU20" i="32"/>
  <c r="BF20" i="32"/>
  <c r="AR20" i="32"/>
  <c r="CI19" i="32"/>
  <c r="BF19" i="32"/>
  <c r="AY21" i="32"/>
  <c r="BN21" i="32"/>
  <c r="AJ21" i="32"/>
  <c r="AJ23" i="32"/>
  <c r="BN23" i="32"/>
  <c r="AY23" i="32"/>
  <c r="CB20" i="32"/>
  <c r="BN20" i="32"/>
  <c r="AJ20" i="32"/>
  <c r="CB23" i="32"/>
  <c r="AJ22" i="32"/>
  <c r="AY22" i="32"/>
  <c r="BN22" i="32"/>
  <c r="CB19" i="32"/>
  <c r="BN19" i="32"/>
  <c r="AJ19" i="32"/>
  <c r="V19" i="32"/>
  <c r="Z19" i="32" s="1"/>
  <c r="W19" i="32"/>
  <c r="AV22" i="32"/>
  <c r="AF22" i="32"/>
  <c r="BJ21" i="32"/>
  <c r="AF23" i="32"/>
  <c r="AV23" i="32"/>
  <c r="BY23" i="32"/>
  <c r="BJ23" i="32"/>
  <c r="BY22" i="32"/>
  <c r="BY20" i="32"/>
  <c r="BJ20" i="32"/>
  <c r="AM20" i="32"/>
  <c r="AV20" i="32"/>
  <c r="AV19" i="32"/>
  <c r="BY18" i="32"/>
  <c r="BD10" i="32"/>
  <c r="AP7" i="32"/>
  <c r="AW10" i="32"/>
  <c r="AG8" i="32"/>
  <c r="AG10" i="32"/>
  <c r="AH9" i="32"/>
  <c r="F10" i="32"/>
  <c r="AH8" i="32"/>
  <c r="AG7" i="32"/>
  <c r="L8" i="32"/>
  <c r="V8" i="32" s="1"/>
  <c r="W8" i="32" s="1"/>
  <c r="BB9" i="32"/>
  <c r="AW7" i="32"/>
  <c r="L7" i="32"/>
  <c r="X7" i="32" s="1"/>
  <c r="AP8" i="32"/>
  <c r="X10" i="32"/>
  <c r="V10" i="32"/>
  <c r="W10" i="32" s="1"/>
  <c r="U9" i="32"/>
  <c r="Y9" i="32" s="1"/>
  <c r="X9" i="32"/>
  <c r="V9" i="32"/>
  <c r="W9" i="32" s="1"/>
  <c r="AG9" i="32"/>
  <c r="AH10" i="32"/>
  <c r="AW9" i="32"/>
  <c r="F9" i="32"/>
  <c r="F8" i="32"/>
  <c r="AP9" i="32"/>
  <c r="AN8" i="32"/>
  <c r="AN7" i="32"/>
  <c r="F7" i="32"/>
  <c r="BB7" i="32"/>
  <c r="AN22" i="31"/>
  <c r="AL22" i="31"/>
  <c r="AL23" i="31"/>
  <c r="AN23" i="31"/>
  <c r="AL25" i="31"/>
  <c r="AN25" i="31"/>
  <c r="V26" i="31"/>
  <c r="V24" i="31"/>
  <c r="AJ23" i="31"/>
  <c r="AO23" i="31"/>
  <c r="Z25" i="31"/>
  <c r="AJ20" i="31"/>
  <c r="T25" i="31"/>
  <c r="AJ19" i="31"/>
  <c r="AL21" i="31"/>
  <c r="AJ21" i="31"/>
  <c r="AO21" i="31"/>
  <c r="Z22" i="31"/>
  <c r="Z20" i="31"/>
  <c r="L10" i="31"/>
  <c r="U10" i="31" s="1"/>
  <c r="AB10" i="31" s="1"/>
  <c r="L8" i="31"/>
  <c r="L11" i="31"/>
  <c r="L9" i="31"/>
  <c r="L7" i="31"/>
  <c r="U18" i="32"/>
  <c r="Y18" i="32" s="1"/>
  <c r="V18" i="32"/>
  <c r="Z18" i="32" s="1"/>
  <c r="X18" i="32"/>
  <c r="M17" i="32"/>
  <c r="BW12" i="13"/>
  <c r="E7" i="12"/>
  <c r="AJ18" i="31"/>
  <c r="G19" i="31"/>
  <c r="Y18" i="31"/>
  <c r="AM18" i="31"/>
  <c r="AK18" i="31"/>
  <c r="AE18" i="31"/>
  <c r="AD18" i="31"/>
  <c r="X18" i="31"/>
  <c r="AL18" i="31"/>
  <c r="L18" i="31"/>
  <c r="Z18" i="31" s="1"/>
  <c r="AD19" i="31"/>
  <c r="X19" i="31"/>
  <c r="L19" i="31"/>
  <c r="Z19" i="31" s="1"/>
  <c r="K6" i="31"/>
  <c r="W23" i="32" l="1"/>
  <c r="CJ23" i="32"/>
  <c r="BG23" i="32"/>
  <c r="AS23" i="32"/>
  <c r="T22" i="31"/>
  <c r="AA22" i="31" s="1"/>
  <c r="U22" i="31"/>
  <c r="AG22" i="31" s="1"/>
  <c r="U23" i="31"/>
  <c r="AG23" i="31" s="1"/>
  <c r="T23" i="31"/>
  <c r="AF23" i="31" s="1"/>
  <c r="AN26" i="31"/>
  <c r="T26" i="31"/>
  <c r="AF26" i="31" s="1"/>
  <c r="U26" i="31"/>
  <c r="AL26" i="31"/>
  <c r="W20" i="32"/>
  <c r="Z20" i="32"/>
  <c r="U17" i="32"/>
  <c r="Y17" i="32" s="1"/>
  <c r="BE17" i="32"/>
  <c r="BT17" i="32"/>
  <c r="CH17" i="32"/>
  <c r="AQ17" i="32"/>
  <c r="W18" i="32"/>
  <c r="CJ22" i="32"/>
  <c r="BV22" i="32"/>
  <c r="BG22" i="32"/>
  <c r="AS22" i="32"/>
  <c r="CJ21" i="32"/>
  <c r="BV21" i="32"/>
  <c r="BG21" i="32"/>
  <c r="AS21" i="32"/>
  <c r="AS19" i="32"/>
  <c r="CJ19" i="32"/>
  <c r="BG19" i="32"/>
  <c r="BV19" i="32"/>
  <c r="BV18" i="32"/>
  <c r="BG18" i="32"/>
  <c r="CJ18" i="32"/>
  <c r="AS18" i="32"/>
  <c r="BU18" i="32"/>
  <c r="BF18" i="32"/>
  <c r="AR18" i="32"/>
  <c r="CI18" i="32"/>
  <c r="BN18" i="32"/>
  <c r="AJ18" i="32"/>
  <c r="CB18" i="32"/>
  <c r="AY18" i="32"/>
  <c r="X8" i="32"/>
  <c r="AK8" i="32" s="1"/>
  <c r="BF9" i="32"/>
  <c r="AR9" i="32"/>
  <c r="BE9" i="32"/>
  <c r="AQ9" i="32"/>
  <c r="AQ10" i="32"/>
  <c r="U10" i="32"/>
  <c r="Y10" i="32" s="1"/>
  <c r="BE10" i="32"/>
  <c r="AJ9" i="32"/>
  <c r="Z9" i="32"/>
  <c r="AK9" i="32"/>
  <c r="AY9" i="32"/>
  <c r="U8" i="32"/>
  <c r="Y8" i="32" s="1"/>
  <c r="BE8" i="32"/>
  <c r="AQ8" i="32"/>
  <c r="AY10" i="32"/>
  <c r="AK10" i="32"/>
  <c r="AJ10" i="32"/>
  <c r="AJ7" i="32"/>
  <c r="AK7" i="32"/>
  <c r="AY7" i="32"/>
  <c r="U25" i="31"/>
  <c r="V23" i="31"/>
  <c r="AA25" i="31"/>
  <c r="AF25" i="31"/>
  <c r="AA23" i="31"/>
  <c r="T21" i="31"/>
  <c r="U21" i="31"/>
  <c r="AG21" i="31" s="1"/>
  <c r="T20" i="31"/>
  <c r="AN20" i="31"/>
  <c r="Z10" i="31"/>
  <c r="V22" i="31"/>
  <c r="U20" i="31"/>
  <c r="Z8" i="31"/>
  <c r="U8" i="31"/>
  <c r="Z11" i="31"/>
  <c r="AG10" i="31"/>
  <c r="V10" i="31"/>
  <c r="T10" i="31"/>
  <c r="AO10" i="31"/>
  <c r="Z9" i="31"/>
  <c r="Z7" i="31"/>
  <c r="AN19" i="31"/>
  <c r="X17" i="32"/>
  <c r="V17" i="32"/>
  <c r="W17" i="32" s="1"/>
  <c r="AO18" i="31"/>
  <c r="Y19" i="31"/>
  <c r="G18" i="31"/>
  <c r="AN18" i="31"/>
  <c r="AO19" i="31"/>
  <c r="AB22" i="31" l="1"/>
  <c r="AF22" i="31"/>
  <c r="AA26" i="31"/>
  <c r="AB23" i="31"/>
  <c r="T24" i="31"/>
  <c r="AN24" i="31"/>
  <c r="AB26" i="31"/>
  <c r="AG26" i="31"/>
  <c r="U24" i="31"/>
  <c r="CJ20" i="32"/>
  <c r="BV20" i="32"/>
  <c r="BG20" i="32"/>
  <c r="AS20" i="32"/>
  <c r="CB17" i="32"/>
  <c r="AY17" i="32"/>
  <c r="BN17" i="32"/>
  <c r="AJ17" i="32"/>
  <c r="CI17" i="32"/>
  <c r="BF17" i="32"/>
  <c r="BU17" i="32"/>
  <c r="AR17" i="32"/>
  <c r="AJ8" i="32"/>
  <c r="AY8" i="32"/>
  <c r="Z8" i="32"/>
  <c r="BG8" i="32" s="1"/>
  <c r="BE7" i="32"/>
  <c r="AQ7" i="32"/>
  <c r="U7" i="32"/>
  <c r="Y7" i="32" s="1"/>
  <c r="V7" i="32"/>
  <c r="W7" i="32" s="1"/>
  <c r="BF10" i="32"/>
  <c r="AR10" i="32"/>
  <c r="AR8" i="32"/>
  <c r="BF8" i="32"/>
  <c r="BG9" i="32"/>
  <c r="AS9" i="32"/>
  <c r="Z10" i="32"/>
  <c r="V21" i="31"/>
  <c r="AB21" i="31"/>
  <c r="V20" i="31"/>
  <c r="AG20" i="31"/>
  <c r="AA21" i="31"/>
  <c r="AF21" i="31"/>
  <c r="AA20" i="31"/>
  <c r="AF20" i="31"/>
  <c r="V25" i="31"/>
  <c r="AB25" i="31"/>
  <c r="AG25" i="31"/>
  <c r="AB20" i="31"/>
  <c r="AG8" i="31"/>
  <c r="AB8" i="31"/>
  <c r="V8" i="31"/>
  <c r="AO8" i="31"/>
  <c r="T8" i="31"/>
  <c r="T11" i="31"/>
  <c r="AO11" i="31"/>
  <c r="U11" i="31"/>
  <c r="AF10" i="31"/>
  <c r="AA10" i="31"/>
  <c r="T9" i="31"/>
  <c r="AO9" i="31"/>
  <c r="U9" i="31"/>
  <c r="T7" i="31"/>
  <c r="AO7" i="31"/>
  <c r="U7" i="31"/>
  <c r="T18" i="31"/>
  <c r="Z17" i="32"/>
  <c r="U18" i="31"/>
  <c r="V18" i="31" s="1"/>
  <c r="T19" i="31"/>
  <c r="AF19" i="31" s="1"/>
  <c r="U19" i="31"/>
  <c r="AA18" i="31"/>
  <c r="AF18" i="31"/>
  <c r="AG24" i="31" l="1"/>
  <c r="AB24" i="31"/>
  <c r="AF24" i="31"/>
  <c r="AA24" i="31"/>
  <c r="AS8" i="32"/>
  <c r="CJ17" i="32"/>
  <c r="AS17" i="32"/>
  <c r="BG17" i="32"/>
  <c r="BV17" i="32"/>
  <c r="BF7" i="32"/>
  <c r="AR7" i="32"/>
  <c r="Z7" i="32"/>
  <c r="BG10" i="32"/>
  <c r="AS10" i="32"/>
  <c r="V19" i="31"/>
  <c r="AG19" i="31"/>
  <c r="AA8" i="31"/>
  <c r="AF8" i="31"/>
  <c r="AG11" i="31"/>
  <c r="V11" i="31"/>
  <c r="AB11" i="31"/>
  <c r="AF11" i="31"/>
  <c r="AA11" i="31"/>
  <c r="AB9" i="31"/>
  <c r="V9" i="31"/>
  <c r="AG9" i="31"/>
  <c r="AA9" i="31"/>
  <c r="AF9" i="31"/>
  <c r="AG7" i="31"/>
  <c r="AB7" i="31"/>
  <c r="V7" i="31"/>
  <c r="AF7" i="31"/>
  <c r="AA7" i="31"/>
  <c r="AA19" i="31"/>
  <c r="AB19" i="31"/>
  <c r="AB18" i="31"/>
  <c r="AG18" i="31"/>
  <c r="AS7" i="32" l="1"/>
  <c r="BG7" i="32"/>
  <c r="E5" i="12" l="1"/>
  <c r="P6" i="13"/>
  <c r="N37" i="13"/>
  <c r="A20" i="13"/>
  <c r="A14" i="13"/>
  <c r="A15" i="13"/>
  <c r="A16" i="13"/>
  <c r="A13" i="13"/>
  <c r="A19" i="13"/>
  <c r="A12" i="13"/>
  <c r="A9" i="13"/>
  <c r="A5" i="3"/>
  <c r="AE6" i="31"/>
  <c r="CG16" i="32"/>
  <c r="CF16" i="32"/>
  <c r="CE16" i="32"/>
  <c r="CD16" i="32"/>
  <c r="CC16" i="32"/>
  <c r="BZ16" i="32"/>
  <c r="BX16" i="32"/>
  <c r="BS16" i="32"/>
  <c r="BR16" i="32"/>
  <c r="BQ16" i="32"/>
  <c r="BP16" i="32"/>
  <c r="BM16" i="32"/>
  <c r="BL16" i="32"/>
  <c r="BK16" i="32"/>
  <c r="BI16" i="32"/>
  <c r="BD16" i="32"/>
  <c r="BC16" i="32"/>
  <c r="BB16" i="32"/>
  <c r="BA16" i="32"/>
  <c r="AZ16" i="32"/>
  <c r="AW16" i="32"/>
  <c r="AU16" i="32"/>
  <c r="AP16" i="32"/>
  <c r="AO16" i="32"/>
  <c r="AN16" i="32"/>
  <c r="AL16" i="32"/>
  <c r="AI16" i="32"/>
  <c r="AH16" i="32"/>
  <c r="AG16" i="32"/>
  <c r="AE16" i="32"/>
  <c r="AD16" i="32"/>
  <c r="AB16" i="32"/>
  <c r="L16" i="32"/>
  <c r="M16" i="32" s="1"/>
  <c r="BE16" i="32" s="1"/>
  <c r="E16" i="32"/>
  <c r="BY16" i="32" s="1"/>
  <c r="K205" i="31"/>
  <c r="BD6" i="32"/>
  <c r="BC6" i="32"/>
  <c r="BB6" i="32"/>
  <c r="BA6" i="32"/>
  <c r="AZ6" i="32"/>
  <c r="AW6" i="32"/>
  <c r="AP6" i="32"/>
  <c r="AO6" i="32"/>
  <c r="AN6" i="32"/>
  <c r="AM6" i="32"/>
  <c r="AL6" i="32"/>
  <c r="AH6" i="32"/>
  <c r="AG6" i="32"/>
  <c r="AF6" i="32"/>
  <c r="AB6" i="32"/>
  <c r="AC6" i="32" s="1"/>
  <c r="L6" i="32"/>
  <c r="F6" i="32"/>
  <c r="AM17" i="31"/>
  <c r="AK17" i="31"/>
  <c r="AE17" i="31"/>
  <c r="AE28" i="31" s="1"/>
  <c r="AD17" i="31"/>
  <c r="Y17" i="31"/>
  <c r="X17" i="31"/>
  <c r="L17" i="31"/>
  <c r="G17" i="31"/>
  <c r="AN6" i="31"/>
  <c r="AM6" i="31"/>
  <c r="AL6" i="31"/>
  <c r="AK6" i="31"/>
  <c r="AH6" i="31"/>
  <c r="AH15" i="31" s="1"/>
  <c r="AD6" i="31"/>
  <c r="P9" i="13" s="1"/>
  <c r="X6" i="31"/>
  <c r="AJ6" i="31"/>
  <c r="L13" i="3"/>
  <c r="L5" i="3"/>
  <c r="BT16" i="32" l="1"/>
  <c r="AQ16" i="32"/>
  <c r="CH16" i="32"/>
  <c r="U16" i="32"/>
  <c r="Y16" i="32" s="1"/>
  <c r="CI16" i="32" s="1"/>
  <c r="AO17" i="31"/>
  <c r="X6" i="32"/>
  <c r="AY6" i="32" s="1"/>
  <c r="V6" i="32"/>
  <c r="W6" i="32" s="1"/>
  <c r="K13" i="31"/>
  <c r="V16" i="32"/>
  <c r="Z16" i="32" s="1"/>
  <c r="X16" i="32"/>
  <c r="BJ16" i="32"/>
  <c r="AR16" i="32"/>
  <c r="BU16" i="32"/>
  <c r="AM16" i="32"/>
  <c r="AF16" i="32"/>
  <c r="AV16" i="32"/>
  <c r="L6" i="31"/>
  <c r="AJ17" i="31"/>
  <c r="Z17" i="31"/>
  <c r="AL3" i="13"/>
  <c r="AK3" i="13"/>
  <c r="AJ3" i="13"/>
  <c r="AM3" i="13"/>
  <c r="AI3" i="13"/>
  <c r="AP3" i="13"/>
  <c r="AG3" i="13"/>
  <c r="AO3" i="13"/>
  <c r="AH3" i="13"/>
  <c r="AN3" i="13"/>
  <c r="CF210" i="32"/>
  <c r="CD210" i="32"/>
  <c r="CC210" i="32"/>
  <c r="BZ210" i="32"/>
  <c r="BX210" i="32"/>
  <c r="BR210" i="32"/>
  <c r="BP210" i="32"/>
  <c r="BO210" i="32"/>
  <c r="BM210" i="32"/>
  <c r="BL210" i="32"/>
  <c r="BK210" i="32"/>
  <c r="BI210" i="32"/>
  <c r="BC210" i="32"/>
  <c r="BA210" i="32"/>
  <c r="AZ210" i="32"/>
  <c r="AW210" i="32"/>
  <c r="AU210" i="32"/>
  <c r="AO210" i="32"/>
  <c r="AL210" i="32"/>
  <c r="AI210" i="32"/>
  <c r="AH210" i="32"/>
  <c r="AG210" i="32"/>
  <c r="AE210" i="32"/>
  <c r="AD210" i="32"/>
  <c r="AB210" i="32"/>
  <c r="BQ210" i="32"/>
  <c r="L210" i="32"/>
  <c r="M210" i="32" s="1"/>
  <c r="E210" i="32"/>
  <c r="BJ210" i="32" s="1"/>
  <c r="BA206" i="32"/>
  <c r="AZ206" i="32"/>
  <c r="AW206" i="32"/>
  <c r="AV206" i="32"/>
  <c r="AO206" i="32"/>
  <c r="AM206" i="32"/>
  <c r="AL206" i="32"/>
  <c r="AH206" i="32"/>
  <c r="AG206" i="32"/>
  <c r="AF206" i="32"/>
  <c r="AB206" i="32"/>
  <c r="AC206" i="32" s="1"/>
  <c r="BC206" i="32"/>
  <c r="AN206" i="32"/>
  <c r="L206" i="32"/>
  <c r="X206" i="32" s="1"/>
  <c r="F206" i="32"/>
  <c r="AM208" i="31"/>
  <c r="AK208" i="31"/>
  <c r="AE208" i="31"/>
  <c r="AD208" i="31"/>
  <c r="Y208" i="31"/>
  <c r="X208" i="31"/>
  <c r="P208" i="31"/>
  <c r="L208" i="31"/>
  <c r="S208" i="31" s="1"/>
  <c r="AO208" i="31" s="1"/>
  <c r="G208" i="31"/>
  <c r="AM205" i="31"/>
  <c r="AK205" i="31"/>
  <c r="AH205" i="31"/>
  <c r="AD205" i="31"/>
  <c r="B8" i="38" s="1"/>
  <c r="Y205" i="31"/>
  <c r="X205" i="31"/>
  <c r="AJ205" i="31"/>
  <c r="L205" i="31"/>
  <c r="AO205" i="31" s="1"/>
  <c r="AE205" i="31"/>
  <c r="G205" i="31"/>
  <c r="AJ6" i="32" l="1"/>
  <c r="AK6" i="32"/>
  <c r="BF16" i="32"/>
  <c r="BE6" i="32"/>
  <c r="U6" i="32"/>
  <c r="Y6" i="32" s="1"/>
  <c r="AQ6" i="32"/>
  <c r="W16" i="32"/>
  <c r="AY16" i="32"/>
  <c r="BN16" i="32"/>
  <c r="AJ16" i="32"/>
  <c r="CB16" i="32"/>
  <c r="BG16" i="32"/>
  <c r="BV16" i="32"/>
  <c r="AS16" i="32"/>
  <c r="CJ16" i="32"/>
  <c r="Z6" i="31"/>
  <c r="AL17" i="31"/>
  <c r="T17" i="31"/>
  <c r="AF210" i="32"/>
  <c r="AN210" i="32"/>
  <c r="CG210" i="32"/>
  <c r="CE210" i="32"/>
  <c r="BB210" i="32"/>
  <c r="BE206" i="32"/>
  <c r="X210" i="32"/>
  <c r="AJ210" i="32" s="1"/>
  <c r="AQ210" i="32"/>
  <c r="AM210" i="32"/>
  <c r="AV210" i="32"/>
  <c r="BD210" i="32"/>
  <c r="BS210" i="32"/>
  <c r="BY210" i="32"/>
  <c r="CH210" i="32"/>
  <c r="U210" i="32"/>
  <c r="Y210" i="32" s="1"/>
  <c r="W210" i="32"/>
  <c r="AP210" i="32"/>
  <c r="AY206" i="32"/>
  <c r="AK206" i="32"/>
  <c r="AJ206" i="32"/>
  <c r="BB206" i="32"/>
  <c r="W206" i="32"/>
  <c r="V206" i="32"/>
  <c r="AL208" i="31"/>
  <c r="R208" i="31"/>
  <c r="AN208" i="31" s="1"/>
  <c r="AJ208" i="31"/>
  <c r="Z208" i="31"/>
  <c r="Z205" i="31"/>
  <c r="A31" i="31"/>
  <c r="E15" i="12"/>
  <c r="E14" i="12"/>
  <c r="A30" i="31"/>
  <c r="A28" i="32"/>
  <c r="A27" i="32"/>
  <c r="C1" i="31"/>
  <c r="A23" i="12"/>
  <c r="A24" i="12"/>
  <c r="BF6" i="32" l="1"/>
  <c r="AR6" i="32"/>
  <c r="Z6" i="32"/>
  <c r="AO6" i="31"/>
  <c r="T6" i="31"/>
  <c r="U6" i="31"/>
  <c r="AA17" i="31"/>
  <c r="AF17" i="31"/>
  <c r="AN17" i="31"/>
  <c r="U17" i="31"/>
  <c r="V17" i="31" s="1"/>
  <c r="AY210" i="32"/>
  <c r="BN210" i="32"/>
  <c r="CB210" i="32"/>
  <c r="BE210" i="32"/>
  <c r="BT210" i="32"/>
  <c r="V210" i="32"/>
  <c r="Z210" i="32" s="1"/>
  <c r="CJ210" i="32" s="1"/>
  <c r="AQ206" i="32"/>
  <c r="CI210" i="32"/>
  <c r="BF210" i="32"/>
  <c r="AR210" i="32"/>
  <c r="BU210" i="32"/>
  <c r="BD206" i="32"/>
  <c r="AP206" i="32"/>
  <c r="U206" i="32"/>
  <c r="Y206" i="32" s="1"/>
  <c r="U208" i="31"/>
  <c r="T208" i="31"/>
  <c r="AL205" i="31"/>
  <c r="AN205" i="31"/>
  <c r="F1" i="32"/>
  <c r="F1" i="12"/>
  <c r="AG7" i="38"/>
  <c r="AG8" i="38"/>
  <c r="AG9" i="38"/>
  <c r="AG15" i="38"/>
  <c r="AG16" i="38"/>
  <c r="AG17" i="38"/>
  <c r="AG18" i="38"/>
  <c r="AG19" i="38"/>
  <c r="AG25" i="38"/>
  <c r="AG26" i="38"/>
  <c r="AG27" i="38"/>
  <c r="AG33" i="38"/>
  <c r="AG34" i="38"/>
  <c r="AG35" i="38"/>
  <c r="AG36" i="38"/>
  <c r="AG37" i="38"/>
  <c r="A43" i="38"/>
  <c r="A44" i="38"/>
  <c r="A45" i="38"/>
  <c r="A46" i="38"/>
  <c r="A47" i="38"/>
  <c r="A53" i="38"/>
  <c r="A54" i="38"/>
  <c r="A55" i="38"/>
  <c r="A56" i="38"/>
  <c r="A57" i="38"/>
  <c r="A63" i="38"/>
  <c r="A64" i="38"/>
  <c r="A65" i="38"/>
  <c r="A66" i="38"/>
  <c r="A72" i="38"/>
  <c r="A73" i="38"/>
  <c r="A74" i="38"/>
  <c r="A75" i="38"/>
  <c r="A81" i="38"/>
  <c r="A82" i="38"/>
  <c r="A83" i="38"/>
  <c r="A84" i="38"/>
  <c r="A90" i="38"/>
  <c r="A91" i="38"/>
  <c r="A92" i="38"/>
  <c r="A93" i="38"/>
  <c r="I33" i="13"/>
  <c r="I32" i="13"/>
  <c r="I31" i="13"/>
  <c r="I30" i="13"/>
  <c r="I29" i="13"/>
  <c r="BB20" i="13"/>
  <c r="BA18" i="13"/>
  <c r="BF20" i="13"/>
  <c r="BE20" i="13"/>
  <c r="AT18" i="13"/>
  <c r="AS20" i="13"/>
  <c r="AS18" i="13"/>
  <c r="AW20" i="13"/>
  <c r="BS23" i="13"/>
  <c r="BK18" i="13"/>
  <c r="BK19" i="13"/>
  <c r="BK20" i="13"/>
  <c r="BK21" i="13"/>
  <c r="BK22" i="13"/>
  <c r="BK17" i="13"/>
  <c r="AP11" i="13"/>
  <c r="AP14" i="13" s="1"/>
  <c r="AK11" i="13"/>
  <c r="AK14" i="13" s="1"/>
  <c r="AO11" i="13"/>
  <c r="AS17" i="13"/>
  <c r="AT17" i="13"/>
  <c r="AW17" i="13"/>
  <c r="AX17" i="13"/>
  <c r="BA17" i="13"/>
  <c r="BE17" i="13"/>
  <c r="BF17" i="13"/>
  <c r="BI23" i="13"/>
  <c r="BI25" i="13"/>
  <c r="BG17" i="13"/>
  <c r="BE18" i="13"/>
  <c r="BF18" i="13"/>
  <c r="BG18" i="13"/>
  <c r="BG19" i="13"/>
  <c r="BG20" i="13"/>
  <c r="BG21" i="13"/>
  <c r="BG2" i="13"/>
  <c r="BB17" i="13"/>
  <c r="BC17" i="13"/>
  <c r="BB18" i="13"/>
  <c r="BC18" i="13"/>
  <c r="BC19" i="13"/>
  <c r="BA20" i="13"/>
  <c r="BC20" i="13"/>
  <c r="BC21" i="13"/>
  <c r="BC2" i="13"/>
  <c r="AY17" i="13"/>
  <c r="AY18" i="13"/>
  <c r="AY19" i="13"/>
  <c r="AX20" i="13"/>
  <c r="AY20" i="13"/>
  <c r="AY21" i="13"/>
  <c r="AY2" i="13"/>
  <c r="AU2" i="13"/>
  <c r="AU17" i="13"/>
  <c r="AU18" i="13"/>
  <c r="AU19" i="13"/>
  <c r="AT20" i="13"/>
  <c r="AU20" i="13"/>
  <c r="AU21" i="13"/>
  <c r="AJ11" i="13"/>
  <c r="AJ14" i="13" s="1"/>
  <c r="AI11" i="13"/>
  <c r="H33" i="13"/>
  <c r="AR12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P7" i="13"/>
  <c r="AD6" i="13"/>
  <c r="AE6" i="13" s="1"/>
  <c r="AD5" i="13"/>
  <c r="AE5" i="13" s="1"/>
  <c r="AB6" i="13"/>
  <c r="AC6" i="13" s="1"/>
  <c r="AB5" i="13"/>
  <c r="AC5" i="13" s="1"/>
  <c r="Z6" i="13"/>
  <c r="AA6" i="13" s="1"/>
  <c r="Z5" i="13"/>
  <c r="AA5" i="13" s="1"/>
  <c r="X6" i="13"/>
  <c r="Y6" i="13" s="1"/>
  <c r="X5" i="13"/>
  <c r="Y5" i="13" s="1"/>
  <c r="V6" i="13"/>
  <c r="W6" i="13" s="1"/>
  <c r="V5" i="13"/>
  <c r="W5" i="13" s="1"/>
  <c r="T6" i="13"/>
  <c r="U6" i="13" s="1"/>
  <c r="T5" i="13"/>
  <c r="U5" i="13" s="1"/>
  <c r="R6" i="13"/>
  <c r="S6" i="13" s="1"/>
  <c r="R5" i="13"/>
  <c r="S5" i="13" s="1"/>
  <c r="Q5" i="13"/>
  <c r="Q6" i="13"/>
  <c r="Q7" i="13"/>
  <c r="E13" i="12"/>
  <c r="H30" i="13"/>
  <c r="H32" i="13"/>
  <c r="H29" i="13"/>
  <c r="H31" i="13"/>
  <c r="J33" i="13" l="1"/>
  <c r="J32" i="13"/>
  <c r="BG6" i="32"/>
  <c r="AS6" i="32"/>
  <c r="V6" i="31"/>
  <c r="AG6" i="31"/>
  <c r="AB6" i="31"/>
  <c r="AF6" i="31"/>
  <c r="AA6" i="31"/>
  <c r="AB17" i="31"/>
  <c r="AG17" i="31"/>
  <c r="D43" i="38"/>
  <c r="AD43" i="38" s="1"/>
  <c r="C43" i="38"/>
  <c r="L43" i="38" s="1"/>
  <c r="AN11" i="13"/>
  <c r="AM17" i="13"/>
  <c r="AL11" i="13"/>
  <c r="C44" i="38"/>
  <c r="D65" i="38"/>
  <c r="B83" i="38"/>
  <c r="AS210" i="32"/>
  <c r="BV210" i="32"/>
  <c r="BG210" i="32"/>
  <c r="BF206" i="32"/>
  <c r="AR206" i="32"/>
  <c r="Z206" i="32"/>
  <c r="AA208" i="31"/>
  <c r="AF208" i="31"/>
  <c r="AB208" i="31"/>
  <c r="AG208" i="31"/>
  <c r="V208" i="31"/>
  <c r="U205" i="31"/>
  <c r="AB205" i="31" s="1"/>
  <c r="T205" i="31"/>
  <c r="AF205" i="31" s="1"/>
  <c r="V205" i="31"/>
  <c r="AZ17" i="13"/>
  <c r="B82" i="38"/>
  <c r="D81" i="38"/>
  <c r="D75" i="38"/>
  <c r="L75" i="38" s="1"/>
  <c r="N74" i="38"/>
  <c r="D66" i="38"/>
  <c r="B64" i="38"/>
  <c r="B63" i="38"/>
  <c r="N55" i="38"/>
  <c r="C53" i="38"/>
  <c r="F53" i="38" s="1"/>
  <c r="D84" i="38"/>
  <c r="D46" i="38"/>
  <c r="E46" i="38" s="1"/>
  <c r="N73" i="38"/>
  <c r="B65" i="38"/>
  <c r="C57" i="38"/>
  <c r="D56" i="38"/>
  <c r="D93" i="38"/>
  <c r="L93" i="38" s="1"/>
  <c r="AI18" i="13"/>
  <c r="D91" i="38"/>
  <c r="C46" i="38"/>
  <c r="F46" i="38" s="1"/>
  <c r="D83" i="38"/>
  <c r="C45" i="38"/>
  <c r="K45" i="38" s="1"/>
  <c r="B92" i="38"/>
  <c r="C55" i="38"/>
  <c r="F55" i="38" s="1"/>
  <c r="B84" i="38"/>
  <c r="D45" i="38"/>
  <c r="E45" i="38" s="1"/>
  <c r="B91" i="38"/>
  <c r="R91" i="38" s="1"/>
  <c r="D55" i="38"/>
  <c r="C56" i="38"/>
  <c r="B93" i="38"/>
  <c r="R93" i="38" s="1"/>
  <c r="B72" i="38"/>
  <c r="R72" i="38" s="1"/>
  <c r="N93" i="38"/>
  <c r="B75" i="38"/>
  <c r="R75" i="38" s="1"/>
  <c r="N91" i="38"/>
  <c r="D73" i="38"/>
  <c r="J73" i="38" s="1"/>
  <c r="D64" i="38"/>
  <c r="B73" i="38"/>
  <c r="R73" i="38" s="1"/>
  <c r="B81" i="38"/>
  <c r="D44" i="38"/>
  <c r="B66" i="38"/>
  <c r="D54" i="38"/>
  <c r="C54" i="38"/>
  <c r="N75" i="38"/>
  <c r="N53" i="38"/>
  <c r="D57" i="38"/>
  <c r="N57" i="38"/>
  <c r="C47" i="38"/>
  <c r="D47" i="38"/>
  <c r="E47" i="38" s="1"/>
  <c r="D74" i="38"/>
  <c r="D53" i="38"/>
  <c r="R53" i="38" s="1"/>
  <c r="B90" i="38"/>
  <c r="B74" i="38"/>
  <c r="R74" i="38" s="1"/>
  <c r="N56" i="38"/>
  <c r="AI20" i="13"/>
  <c r="AM20" i="13"/>
  <c r="AG20" i="13"/>
  <c r="AJ21" i="13"/>
  <c r="AP18" i="13"/>
  <c r="AG17" i="13"/>
  <c r="AJ18" i="13"/>
  <c r="AH20" i="13"/>
  <c r="AK21" i="13"/>
  <c r="AO20" i="13"/>
  <c r="AO18" i="13"/>
  <c r="AP20" i="13"/>
  <c r="AH17" i="13"/>
  <c r="AK18" i="13"/>
  <c r="AL17" i="13"/>
  <c r="AN20" i="13"/>
  <c r="AN18" i="13"/>
  <c r="AI17" i="13"/>
  <c r="AJ20" i="13"/>
  <c r="AL18" i="13"/>
  <c r="AM18" i="13"/>
  <c r="AP2" i="13"/>
  <c r="AG14" i="13"/>
  <c r="AJ17" i="13"/>
  <c r="AH19" i="13"/>
  <c r="AK20" i="13"/>
  <c r="AP21" i="13"/>
  <c r="AP19" i="13"/>
  <c r="AP17" i="13"/>
  <c r="AK17" i="13"/>
  <c r="AL20" i="13"/>
  <c r="AO17" i="13"/>
  <c r="AK2" i="13"/>
  <c r="AI14" i="13"/>
  <c r="AG18" i="13"/>
  <c r="AL21" i="13"/>
  <c r="AN17" i="13"/>
  <c r="AH18" i="13"/>
  <c r="AK19" i="13"/>
  <c r="AI21" i="13"/>
  <c r="BD17" i="13"/>
  <c r="AN21" i="13"/>
  <c r="AO19" i="13"/>
  <c r="AG21" i="13"/>
  <c r="AJ19" i="13"/>
  <c r="AI19" i="13"/>
  <c r="AO21" i="13"/>
  <c r="AM19" i="13"/>
  <c r="AL19" i="13"/>
  <c r="AG19" i="13"/>
  <c r="AN19" i="13"/>
  <c r="H34" i="13"/>
  <c r="J31" i="13"/>
  <c r="I34" i="13"/>
  <c r="J30" i="13"/>
  <c r="J29" i="13"/>
  <c r="AU3" i="13"/>
  <c r="BB3" i="13"/>
  <c r="AT3" i="13"/>
  <c r="AX12" i="13"/>
  <c r="AX14" i="13" s="1"/>
  <c r="AS3" i="13"/>
  <c r="AU12" i="13"/>
  <c r="AU14" i="13" s="1"/>
  <c r="AX3" i="13"/>
  <c r="AT12" i="13"/>
  <c r="AT14" i="13" s="1"/>
  <c r="BB13" i="13"/>
  <c r="BB14" i="13" s="1"/>
  <c r="AS12" i="13"/>
  <c r="AS14" i="13" s="1"/>
  <c r="B64" i="33"/>
  <c r="A63" i="33"/>
  <c r="A62" i="33"/>
  <c r="A61" i="33"/>
  <c r="A60" i="33"/>
  <c r="A59" i="33"/>
  <c r="L52" i="33"/>
  <c r="L51" i="33"/>
  <c r="L50" i="33"/>
  <c r="L49" i="33"/>
  <c r="L48" i="33"/>
  <c r="L41" i="33"/>
  <c r="L40" i="33"/>
  <c r="L39" i="33"/>
  <c r="L32" i="33"/>
  <c r="L31" i="33"/>
  <c r="L30" i="33"/>
  <c r="L29" i="33"/>
  <c r="L28" i="33"/>
  <c r="L21" i="33"/>
  <c r="L20" i="33"/>
  <c r="L19" i="33"/>
  <c r="D70" i="33" l="1"/>
  <c r="D72" i="33"/>
  <c r="B69" i="33"/>
  <c r="B70" i="33"/>
  <c r="B72" i="33"/>
  <c r="D81" i="33"/>
  <c r="B79" i="33"/>
  <c r="B71" i="33"/>
  <c r="U83" i="38"/>
  <c r="B80" i="33"/>
  <c r="D71" i="33"/>
  <c r="B81" i="33"/>
  <c r="B78" i="33"/>
  <c r="I81" i="38"/>
  <c r="L81" i="38" s="1"/>
  <c r="Q81" i="38"/>
  <c r="L47" i="38"/>
  <c r="E57" i="38"/>
  <c r="Y57" i="38"/>
  <c r="T57" i="38"/>
  <c r="AB57" i="38"/>
  <c r="V57" i="38"/>
  <c r="X57" i="38"/>
  <c r="U57" i="38"/>
  <c r="P57" i="38"/>
  <c r="S57" i="38"/>
  <c r="R57" i="38"/>
  <c r="AD57" i="38"/>
  <c r="O57" i="38"/>
  <c r="Q57" i="38"/>
  <c r="W57" i="38"/>
  <c r="AA57" i="38"/>
  <c r="AC57" i="38"/>
  <c r="Z57" i="38"/>
  <c r="E56" i="38"/>
  <c r="V56" i="38"/>
  <c r="U56" i="38"/>
  <c r="S56" i="38"/>
  <c r="T56" i="38"/>
  <c r="AD56" i="38"/>
  <c r="O56" i="38"/>
  <c r="AC56" i="38"/>
  <c r="AB56" i="38"/>
  <c r="Y56" i="38"/>
  <c r="AA56" i="38"/>
  <c r="P56" i="38"/>
  <c r="X56" i="38"/>
  <c r="Q56" i="38"/>
  <c r="R56" i="38"/>
  <c r="Z56" i="38"/>
  <c r="W56" i="38"/>
  <c r="S55" i="38"/>
  <c r="Y55" i="38"/>
  <c r="AD55" i="38"/>
  <c r="O55" i="38"/>
  <c r="AA55" i="38"/>
  <c r="R55" i="38"/>
  <c r="AB55" i="38"/>
  <c r="X55" i="38"/>
  <c r="Z55" i="38"/>
  <c r="U55" i="38"/>
  <c r="AC55" i="38"/>
  <c r="V55" i="38"/>
  <c r="Q55" i="38"/>
  <c r="W55" i="38"/>
  <c r="T55" i="38"/>
  <c r="P55" i="38"/>
  <c r="AB53" i="38"/>
  <c r="U53" i="38"/>
  <c r="Y53" i="38"/>
  <c r="V53" i="38"/>
  <c r="AA53" i="38"/>
  <c r="Z53" i="38"/>
  <c r="S53" i="38"/>
  <c r="X53" i="38"/>
  <c r="P53" i="38"/>
  <c r="AD53" i="38"/>
  <c r="O53" i="38"/>
  <c r="AC53" i="38"/>
  <c r="Q53" i="38"/>
  <c r="W53" i="38"/>
  <c r="T53" i="38"/>
  <c r="AD54" i="38"/>
  <c r="O54" i="38"/>
  <c r="AA54" i="38"/>
  <c r="W54" i="38"/>
  <c r="Y54" i="38"/>
  <c r="X54" i="38"/>
  <c r="Z54" i="38"/>
  <c r="U54" i="38"/>
  <c r="V54" i="38"/>
  <c r="R54" i="38"/>
  <c r="AC54" i="38"/>
  <c r="T54" i="38"/>
  <c r="Q54" i="38"/>
  <c r="P54" i="38"/>
  <c r="AB54" i="38"/>
  <c r="S54" i="38"/>
  <c r="E53" i="38"/>
  <c r="L56" i="38"/>
  <c r="L57" i="38"/>
  <c r="E54" i="38"/>
  <c r="L54" i="38"/>
  <c r="AC43" i="38"/>
  <c r="F45" i="38"/>
  <c r="P43" i="38"/>
  <c r="O43" i="38"/>
  <c r="W83" i="38"/>
  <c r="R66" i="38"/>
  <c r="P83" i="38"/>
  <c r="Z83" i="38"/>
  <c r="T63" i="38"/>
  <c r="AB84" i="38"/>
  <c r="T82" i="38"/>
  <c r="F64" i="38"/>
  <c r="G64" i="38" s="1"/>
  <c r="AB83" i="38"/>
  <c r="O65" i="38"/>
  <c r="H83" i="38"/>
  <c r="J83" i="38" s="1"/>
  <c r="V83" i="38"/>
  <c r="Q83" i="38"/>
  <c r="H56" i="38"/>
  <c r="X83" i="38"/>
  <c r="E62" i="33"/>
  <c r="J62" i="33"/>
  <c r="J63" i="33"/>
  <c r="AA43" i="38"/>
  <c r="Y43" i="38"/>
  <c r="H43" i="38"/>
  <c r="F43" i="38"/>
  <c r="X43" i="38"/>
  <c r="K43" i="38"/>
  <c r="U43" i="38"/>
  <c r="Y83" i="38"/>
  <c r="AC83" i="38"/>
  <c r="W43" i="38"/>
  <c r="AA83" i="38"/>
  <c r="S43" i="38"/>
  <c r="C83" i="38"/>
  <c r="T83" i="38"/>
  <c r="F83" i="38"/>
  <c r="G83" i="38" s="1"/>
  <c r="V43" i="38"/>
  <c r="AD83" i="38"/>
  <c r="T43" i="38"/>
  <c r="I83" i="38"/>
  <c r="L83" i="38" s="1"/>
  <c r="S83" i="38"/>
  <c r="Z43" i="38"/>
  <c r="R43" i="38"/>
  <c r="R83" i="38"/>
  <c r="AB43" i="38"/>
  <c r="Q43" i="38"/>
  <c r="E43" i="38"/>
  <c r="J75" i="38"/>
  <c r="AC45" i="38"/>
  <c r="P45" i="38"/>
  <c r="K53" i="38"/>
  <c r="J93" i="38"/>
  <c r="O83" i="38"/>
  <c r="T92" i="38"/>
  <c r="BG206" i="32"/>
  <c r="AS206" i="32"/>
  <c r="AA205" i="31"/>
  <c r="AG205" i="31"/>
  <c r="U64" i="38"/>
  <c r="O64" i="38"/>
  <c r="T64" i="38"/>
  <c r="W64" i="38"/>
  <c r="AA64" i="38"/>
  <c r="C64" i="38"/>
  <c r="X64" i="38"/>
  <c r="Y64" i="38"/>
  <c r="Z64" i="38"/>
  <c r="V64" i="38"/>
  <c r="L45" i="38"/>
  <c r="K46" i="38"/>
  <c r="Y46" i="38"/>
  <c r="L46" i="38"/>
  <c r="F57" i="38"/>
  <c r="I91" i="38"/>
  <c r="L91" i="38" s="1"/>
  <c r="V91" i="38"/>
  <c r="U91" i="38"/>
  <c r="Y91" i="38"/>
  <c r="E91" i="38"/>
  <c r="AB45" i="38"/>
  <c r="S45" i="38"/>
  <c r="AD45" i="38"/>
  <c r="X45" i="38"/>
  <c r="H45" i="38"/>
  <c r="Q65" i="38"/>
  <c r="X65" i="38"/>
  <c r="S65" i="38"/>
  <c r="AD65" i="38"/>
  <c r="F65" i="38"/>
  <c r="G65" i="38" s="1"/>
  <c r="AC65" i="38"/>
  <c r="AA65" i="38"/>
  <c r="T65" i="38"/>
  <c r="AB65" i="38"/>
  <c r="C65" i="38"/>
  <c r="V65" i="38"/>
  <c r="Z65" i="38"/>
  <c r="U65" i="38"/>
  <c r="W65" i="38"/>
  <c r="R65" i="38"/>
  <c r="P65" i="38"/>
  <c r="I65" i="38"/>
  <c r="L65" i="38" s="1"/>
  <c r="Y65" i="38"/>
  <c r="K57" i="38"/>
  <c r="AM11" i="13"/>
  <c r="F91" i="38"/>
  <c r="G91" i="38" s="1"/>
  <c r="H65" i="38"/>
  <c r="J65" i="38" s="1"/>
  <c r="X46" i="38"/>
  <c r="V46" i="38"/>
  <c r="S46" i="38"/>
  <c r="S84" i="38"/>
  <c r="T46" i="38"/>
  <c r="L53" i="38"/>
  <c r="Q46" i="38"/>
  <c r="Y84" i="38"/>
  <c r="U46" i="38"/>
  <c r="R46" i="38"/>
  <c r="AD46" i="38"/>
  <c r="P46" i="38"/>
  <c r="S64" i="38"/>
  <c r="O46" i="38"/>
  <c r="R64" i="38"/>
  <c r="H46" i="38"/>
  <c r="Q64" i="38"/>
  <c r="AC46" i="38"/>
  <c r="I64" i="38"/>
  <c r="L64" i="38" s="1"/>
  <c r="AB46" i="38"/>
  <c r="AA46" i="38"/>
  <c r="W46" i="38"/>
  <c r="P64" i="38"/>
  <c r="Z46" i="38"/>
  <c r="AA93" i="38"/>
  <c r="O84" i="38"/>
  <c r="AD84" i="38"/>
  <c r="E55" i="38"/>
  <c r="AC84" i="38"/>
  <c r="X91" i="38"/>
  <c r="AA84" i="38"/>
  <c r="F84" i="38"/>
  <c r="G84" i="38" s="1"/>
  <c r="O73" i="38"/>
  <c r="E74" i="38"/>
  <c r="E90" i="38"/>
  <c r="X84" i="38"/>
  <c r="W84" i="38"/>
  <c r="V75" i="38"/>
  <c r="V84" i="38"/>
  <c r="Q84" i="38"/>
  <c r="E92" i="38"/>
  <c r="R84" i="38"/>
  <c r="S44" i="38"/>
  <c r="C91" i="38"/>
  <c r="Q91" i="38"/>
  <c r="V45" i="38"/>
  <c r="O91" i="38"/>
  <c r="W45" i="38"/>
  <c r="AC91" i="38"/>
  <c r="O44" i="38"/>
  <c r="S91" i="38"/>
  <c r="Q45" i="38"/>
  <c r="U45" i="38"/>
  <c r="U84" i="38"/>
  <c r="P91" i="38"/>
  <c r="H91" i="38"/>
  <c r="J91" i="38" s="1"/>
  <c r="V93" i="38"/>
  <c r="U93" i="38"/>
  <c r="AD91" i="38"/>
  <c r="Y93" i="38"/>
  <c r="AA91" i="38"/>
  <c r="AA45" i="38"/>
  <c r="T93" i="38"/>
  <c r="P93" i="38"/>
  <c r="Z91" i="38"/>
  <c r="T45" i="38"/>
  <c r="P84" i="38"/>
  <c r="R45" i="38"/>
  <c r="Y45" i="38"/>
  <c r="T91" i="38"/>
  <c r="AB91" i="38"/>
  <c r="I84" i="38"/>
  <c r="L84" i="38" s="1"/>
  <c r="Z45" i="38"/>
  <c r="O45" i="38"/>
  <c r="Z84" i="38"/>
  <c r="W91" i="38"/>
  <c r="H84" i="38"/>
  <c r="J84" i="38" s="1"/>
  <c r="T84" i="38"/>
  <c r="C84" i="38"/>
  <c r="X93" i="38"/>
  <c r="E72" i="38"/>
  <c r="Z93" i="38"/>
  <c r="S93" i="38"/>
  <c r="Q93" i="38"/>
  <c r="W93" i="38"/>
  <c r="AD81" i="38"/>
  <c r="AB93" i="38"/>
  <c r="AD93" i="38"/>
  <c r="I93" i="38"/>
  <c r="H93" i="38"/>
  <c r="O93" i="38"/>
  <c r="E75" i="38"/>
  <c r="AD66" i="38"/>
  <c r="E93" i="38"/>
  <c r="T72" i="38"/>
  <c r="S75" i="38"/>
  <c r="P75" i="38"/>
  <c r="I75" i="38"/>
  <c r="Y66" i="38"/>
  <c r="AB66" i="38"/>
  <c r="Z66" i="38"/>
  <c r="S66" i="38"/>
  <c r="AC93" i="38"/>
  <c r="Q75" i="38"/>
  <c r="AD75" i="38"/>
  <c r="K56" i="38"/>
  <c r="F56" i="38"/>
  <c r="Y75" i="38"/>
  <c r="F93" i="38"/>
  <c r="G93" i="38" s="1"/>
  <c r="C93" i="38"/>
  <c r="W75" i="38"/>
  <c r="AB75" i="38"/>
  <c r="X66" i="38"/>
  <c r="T73" i="38"/>
  <c r="O75" i="38"/>
  <c r="AC75" i="38"/>
  <c r="U75" i="38"/>
  <c r="Z75" i="38"/>
  <c r="S73" i="38"/>
  <c r="P73" i="38"/>
  <c r="L73" i="38"/>
  <c r="T44" i="38"/>
  <c r="AA81" i="38"/>
  <c r="AD73" i="38"/>
  <c r="Z73" i="38"/>
  <c r="H73" i="38"/>
  <c r="X73" i="38"/>
  <c r="AA73" i="38"/>
  <c r="AC73" i="38"/>
  <c r="T75" i="38"/>
  <c r="F75" i="38"/>
  <c r="G75" i="38" s="1"/>
  <c r="C75" i="38"/>
  <c r="H75" i="38"/>
  <c r="AA75" i="38"/>
  <c r="AB73" i="38"/>
  <c r="Y73" i="38"/>
  <c r="AC81" i="38"/>
  <c r="I73" i="38"/>
  <c r="C73" i="38"/>
  <c r="X75" i="38"/>
  <c r="F81" i="38"/>
  <c r="G81" i="38" s="1"/>
  <c r="AB81" i="38"/>
  <c r="V81" i="38"/>
  <c r="V66" i="38"/>
  <c r="H81" i="38"/>
  <c r="J81" i="38" s="1"/>
  <c r="E73" i="38"/>
  <c r="F73" i="38"/>
  <c r="G73" i="38" s="1"/>
  <c r="U73" i="38"/>
  <c r="W73" i="38"/>
  <c r="C66" i="38"/>
  <c r="X81" i="38"/>
  <c r="V73" i="38"/>
  <c r="Q73" i="38"/>
  <c r="AA66" i="38"/>
  <c r="W66" i="38"/>
  <c r="Q66" i="38"/>
  <c r="P66" i="38"/>
  <c r="E44" i="38"/>
  <c r="Q44" i="38"/>
  <c r="P44" i="38"/>
  <c r="Y81" i="38"/>
  <c r="O81" i="38"/>
  <c r="P81" i="38"/>
  <c r="R81" i="38"/>
  <c r="C81" i="38"/>
  <c r="H66" i="38"/>
  <c r="J66" i="38" s="1"/>
  <c r="W81" i="38"/>
  <c r="U66" i="38"/>
  <c r="U81" i="38"/>
  <c r="T66" i="38"/>
  <c r="F66" i="38"/>
  <c r="G66" i="38" s="1"/>
  <c r="O66" i="38"/>
  <c r="S81" i="38"/>
  <c r="Z81" i="38"/>
  <c r="T81" i="38"/>
  <c r="I66" i="38"/>
  <c r="L66" i="38" s="1"/>
  <c r="AC66" i="38"/>
  <c r="H54" i="38"/>
  <c r="F54" i="38"/>
  <c r="K54" i="38"/>
  <c r="H53" i="38"/>
  <c r="F47" i="38"/>
  <c r="K47" i="38"/>
  <c r="V47" i="38"/>
  <c r="W47" i="38"/>
  <c r="X47" i="38"/>
  <c r="Y47" i="38"/>
  <c r="Z47" i="38"/>
  <c r="AC47" i="38"/>
  <c r="AD47" i="38"/>
  <c r="H47" i="38"/>
  <c r="P47" i="38"/>
  <c r="O47" i="38"/>
  <c r="S47" i="38"/>
  <c r="Q47" i="38"/>
  <c r="R47" i="38"/>
  <c r="T47" i="38"/>
  <c r="U47" i="38"/>
  <c r="AA47" i="38"/>
  <c r="AB47" i="38"/>
  <c r="H57" i="38"/>
  <c r="O74" i="38"/>
  <c r="U74" i="38"/>
  <c r="AA74" i="38"/>
  <c r="C74" i="38"/>
  <c r="Y74" i="38"/>
  <c r="Z74" i="38"/>
  <c r="F74" i="38"/>
  <c r="G74" i="38" s="1"/>
  <c r="S74" i="38"/>
  <c r="T74" i="38"/>
  <c r="T90" i="38"/>
  <c r="AG22" i="13"/>
  <c r="AG24" i="13" s="1"/>
  <c r="AJ22" i="13"/>
  <c r="AJ24" i="13" s="1"/>
  <c r="AI22" i="13"/>
  <c r="AI24" i="13" s="1"/>
  <c r="AK22" i="13"/>
  <c r="AK24" i="13" s="1"/>
  <c r="AK26" i="13" s="1"/>
  <c r="F44" i="38"/>
  <c r="X44" i="38"/>
  <c r="AH21" i="13"/>
  <c r="AH22" i="13" s="1"/>
  <c r="BC22" i="13"/>
  <c r="AO22" i="13"/>
  <c r="AP22" i="13"/>
  <c r="AP24" i="13" s="1"/>
  <c r="AP26" i="13" s="1"/>
  <c r="BG22" i="13"/>
  <c r="J34" i="13"/>
  <c r="AU22" i="13"/>
  <c r="AU24" i="13" s="1"/>
  <c r="AU26" i="13" s="1"/>
  <c r="AY22" i="13"/>
  <c r="E59" i="33"/>
  <c r="E63" i="33"/>
  <c r="G70" i="33" l="1"/>
  <c r="G72" i="33"/>
  <c r="G71" i="33"/>
  <c r="J81" i="33"/>
  <c r="J72" i="33"/>
  <c r="I81" i="33"/>
  <c r="F72" i="33"/>
  <c r="G81" i="33"/>
  <c r="F70" i="33"/>
  <c r="B73" i="33"/>
  <c r="B12" i="33" s="1"/>
  <c r="I70" i="33"/>
  <c r="B82" i="33"/>
  <c r="H81" i="33"/>
  <c r="F81" i="33"/>
  <c r="F71" i="33"/>
  <c r="H72" i="33"/>
  <c r="U44" i="38"/>
  <c r="W44" i="38"/>
  <c r="R44" i="38"/>
  <c r="AM21" i="13"/>
  <c r="V44" i="38"/>
  <c r="AH11" i="13"/>
  <c r="AH14" i="13" s="1"/>
  <c r="AH24" i="13" s="1"/>
  <c r="N54" i="38"/>
  <c r="D64" i="33"/>
  <c r="G63" i="33"/>
  <c r="D11" i="33" l="1"/>
  <c r="H19" i="13"/>
  <c r="I19" i="13"/>
  <c r="E13" i="31"/>
  <c r="N13" i="31"/>
  <c r="Q13" i="31"/>
  <c r="BM20" i="13" s="1"/>
  <c r="H14" i="13"/>
  <c r="I14" i="13"/>
  <c r="H15" i="13"/>
  <c r="I15" i="13"/>
  <c r="H16" i="13"/>
  <c r="I16" i="13"/>
  <c r="H20" i="13"/>
  <c r="I20" i="13"/>
  <c r="F25" i="32"/>
  <c r="N25" i="32"/>
  <c r="O25" i="32"/>
  <c r="R25" i="32"/>
  <c r="BO20" i="13" s="1"/>
  <c r="E12" i="32"/>
  <c r="N12" i="32"/>
  <c r="O12" i="32"/>
  <c r="BN18" i="13" s="1"/>
  <c r="BS18" i="13" s="1"/>
  <c r="E28" i="31"/>
  <c r="I12" i="13" l="1"/>
  <c r="B19" i="38"/>
  <c r="B34" i="38"/>
  <c r="B26" i="38"/>
  <c r="B18" i="38"/>
  <c r="B36" i="38"/>
  <c r="B27" i="38"/>
  <c r="B16" i="38"/>
  <c r="B9" i="38"/>
  <c r="B33" i="38"/>
  <c r="B17" i="38"/>
  <c r="B7" i="38"/>
  <c r="O7" i="38" s="1"/>
  <c r="B37" i="38"/>
  <c r="B35" i="38"/>
  <c r="B25" i="38"/>
  <c r="B15" i="38"/>
  <c r="AT19" i="13"/>
  <c r="BB19" i="13"/>
  <c r="AW19" i="13"/>
  <c r="AS19" i="13"/>
  <c r="BE19" i="13"/>
  <c r="J20" i="13"/>
  <c r="I21" i="13"/>
  <c r="D90" i="38"/>
  <c r="D78" i="33" s="1"/>
  <c r="D92" i="38"/>
  <c r="D80" i="33" s="1"/>
  <c r="D82" i="38"/>
  <c r="D79" i="33" s="1"/>
  <c r="T2" i="13"/>
  <c r="AX18" i="13"/>
  <c r="AW18" i="13"/>
  <c r="D63" i="38"/>
  <c r="D72" i="38"/>
  <c r="AV17" i="13"/>
  <c r="J14" i="13"/>
  <c r="M25" i="32"/>
  <c r="H12" i="13"/>
  <c r="AB19" i="13"/>
  <c r="AB17" i="13"/>
  <c r="J19" i="13"/>
  <c r="H21" i="13"/>
  <c r="X13" i="31"/>
  <c r="I9" i="13"/>
  <c r="I10" i="13" s="1"/>
  <c r="J15" i="13"/>
  <c r="S20" i="13"/>
  <c r="Y21" i="13"/>
  <c r="Y20" i="13"/>
  <c r="AA20" i="13"/>
  <c r="V17" i="13"/>
  <c r="V20" i="13"/>
  <c r="V18" i="13"/>
  <c r="X2" i="13"/>
  <c r="U20" i="13"/>
  <c r="Z20" i="13"/>
  <c r="U18" i="13"/>
  <c r="AD2" i="13"/>
  <c r="AD20" i="13"/>
  <c r="AA21" i="13"/>
  <c r="AE17" i="13"/>
  <c r="Y19" i="13"/>
  <c r="P20" i="13"/>
  <c r="AB18" i="13"/>
  <c r="T20" i="13"/>
  <c r="AC20" i="13"/>
  <c r="AC18" i="13"/>
  <c r="X20" i="13"/>
  <c r="AD18" i="13"/>
  <c r="AE2" i="13"/>
  <c r="V21" i="13"/>
  <c r="Q18" i="13"/>
  <c r="AC17" i="13"/>
  <c r="Z18" i="13"/>
  <c r="AE18" i="13"/>
  <c r="R20" i="13"/>
  <c r="AA2" i="13"/>
  <c r="AA17" i="13"/>
  <c r="W18" i="13"/>
  <c r="Y17" i="13"/>
  <c r="AC21" i="13"/>
  <c r="Y2" i="13"/>
  <c r="V2" i="13"/>
  <c r="AC2" i="13"/>
  <c r="AE21" i="13"/>
  <c r="Q20" i="13"/>
  <c r="T18" i="13"/>
  <c r="V19" i="13"/>
  <c r="AE19" i="13"/>
  <c r="W17" i="13"/>
  <c r="AE20" i="13"/>
  <c r="R18" i="13"/>
  <c r="X18" i="13"/>
  <c r="S18" i="13"/>
  <c r="W20" i="13"/>
  <c r="P18" i="13"/>
  <c r="AA18" i="13"/>
  <c r="AB20" i="13"/>
  <c r="Y18" i="13"/>
  <c r="AA19" i="13"/>
  <c r="AC19" i="13"/>
  <c r="AD17" i="13"/>
  <c r="Z19" i="13"/>
  <c r="Z17" i="13"/>
  <c r="H13" i="13"/>
  <c r="Y28" i="31"/>
  <c r="T19" i="13"/>
  <c r="T17" i="13"/>
  <c r="I13" i="13"/>
  <c r="X28" i="31"/>
  <c r="Q19" i="13"/>
  <c r="Q17" i="13"/>
  <c r="J16" i="13"/>
  <c r="X19" i="13"/>
  <c r="X17" i="13"/>
  <c r="S19" i="13"/>
  <c r="S17" i="13"/>
  <c r="AM14" i="13"/>
  <c r="AO14" i="13"/>
  <c r="AO24" i="13" s="1"/>
  <c r="AN14" i="13"/>
  <c r="R3" i="13"/>
  <c r="Q3" i="13"/>
  <c r="S3" i="13"/>
  <c r="P3" i="13"/>
  <c r="T3" i="13"/>
  <c r="U3" i="13"/>
  <c r="AA3" i="13"/>
  <c r="AB3" i="13"/>
  <c r="Y3" i="13"/>
  <c r="AC3" i="13"/>
  <c r="Z3" i="13"/>
  <c r="V3" i="13"/>
  <c r="AD3" i="13"/>
  <c r="AE3" i="13"/>
  <c r="W3" i="13"/>
  <c r="X3" i="13"/>
  <c r="P19" i="13"/>
  <c r="P17" i="13"/>
  <c r="Z2" i="13"/>
  <c r="Q9" i="13"/>
  <c r="Q14" i="13" s="1"/>
  <c r="S9" i="13"/>
  <c r="S14" i="13" s="1"/>
  <c r="R9" i="13"/>
  <c r="R14" i="13" s="1"/>
  <c r="U9" i="13"/>
  <c r="U14" i="13" s="1"/>
  <c r="Z10" i="13"/>
  <c r="Z14" i="13" s="1"/>
  <c r="Y10" i="13"/>
  <c r="Y14" i="13" s="1"/>
  <c r="AC10" i="13"/>
  <c r="AC14" i="13" s="1"/>
  <c r="AD10" i="13"/>
  <c r="AD14" i="13" s="1"/>
  <c r="AB10" i="13"/>
  <c r="AB14" i="13" s="1"/>
  <c r="V10" i="13"/>
  <c r="V14" i="13" s="1"/>
  <c r="AA10" i="13"/>
  <c r="AA14" i="13" s="1"/>
  <c r="W10" i="13"/>
  <c r="W14" i="13" s="1"/>
  <c r="X10" i="13"/>
  <c r="X14" i="13" s="1"/>
  <c r="AE10" i="13"/>
  <c r="AE14" i="13" s="1"/>
  <c r="G62" i="33"/>
  <c r="B50" i="33"/>
  <c r="B39" i="33"/>
  <c r="B31" i="33"/>
  <c r="B29" i="33"/>
  <c r="B41" i="33"/>
  <c r="B30" i="33"/>
  <c r="B28" i="33"/>
  <c r="B21" i="33"/>
  <c r="B19" i="33"/>
  <c r="B20" i="33"/>
  <c r="B40" i="33"/>
  <c r="B52" i="33"/>
  <c r="B48" i="33"/>
  <c r="B32" i="33"/>
  <c r="B49" i="33"/>
  <c r="B51" i="33"/>
  <c r="E61" i="33"/>
  <c r="W2" i="13"/>
  <c r="G12" i="32"/>
  <c r="F12" i="32" s="1"/>
  <c r="S12" i="32"/>
  <c r="BN21" i="13" s="1"/>
  <c r="AB2" i="13"/>
  <c r="M13" i="31"/>
  <c r="R12" i="32"/>
  <c r="BN20" i="13" s="1"/>
  <c r="Q25" i="32"/>
  <c r="BO19" i="13" s="1"/>
  <c r="L25" i="32"/>
  <c r="Q12" i="32"/>
  <c r="BN19" i="13" s="1"/>
  <c r="L12" i="32"/>
  <c r="D69" i="33" l="1"/>
  <c r="U17" i="13"/>
  <c r="U19" i="13"/>
  <c r="R17" i="13"/>
  <c r="BF13" i="13"/>
  <c r="BF14" i="13" s="1"/>
  <c r="BF3" i="13"/>
  <c r="I17" i="13"/>
  <c r="I23" i="13" s="1"/>
  <c r="T21" i="13"/>
  <c r="T22" i="13" s="1"/>
  <c r="AF3" i="13"/>
  <c r="BF19" i="13"/>
  <c r="Q92" i="38"/>
  <c r="P92" i="38"/>
  <c r="C92" i="38"/>
  <c r="S92" i="38"/>
  <c r="O92" i="38"/>
  <c r="BA19" i="13"/>
  <c r="P82" i="38"/>
  <c r="Q82" i="38"/>
  <c r="S82" i="38"/>
  <c r="O82" i="38"/>
  <c r="C82" i="38"/>
  <c r="S90" i="38"/>
  <c r="C90" i="38"/>
  <c r="O90" i="38"/>
  <c r="P90" i="38"/>
  <c r="Q90" i="38"/>
  <c r="AX19" i="13"/>
  <c r="Q74" i="38"/>
  <c r="P74" i="38"/>
  <c r="W15" i="38"/>
  <c r="AC15" i="38"/>
  <c r="T15" i="38"/>
  <c r="U15" i="38"/>
  <c r="O15" i="38"/>
  <c r="Q15" i="38"/>
  <c r="R15" i="38"/>
  <c r="S15" i="38"/>
  <c r="I15" i="38"/>
  <c r="AA15" i="38"/>
  <c r="P15" i="38"/>
  <c r="X15" i="38"/>
  <c r="V15" i="38"/>
  <c r="C15" i="38"/>
  <c r="Y15" i="38"/>
  <c r="D15" i="38"/>
  <c r="Z15" i="38"/>
  <c r="H15" i="38"/>
  <c r="AD15" i="38"/>
  <c r="F15" i="38"/>
  <c r="AB15" i="38"/>
  <c r="F25" i="38"/>
  <c r="G25" i="38" s="1"/>
  <c r="O25" i="38"/>
  <c r="P25" i="38"/>
  <c r="Q25" i="38"/>
  <c r="S25" i="38"/>
  <c r="T25" i="38"/>
  <c r="D25" i="38"/>
  <c r="N25" i="38"/>
  <c r="P35" i="38"/>
  <c r="U35" i="38"/>
  <c r="X35" i="38"/>
  <c r="Q35" i="38"/>
  <c r="R35" i="38"/>
  <c r="V35" i="38"/>
  <c r="W35" i="38"/>
  <c r="AA35" i="38"/>
  <c r="F35" i="38"/>
  <c r="G35" i="38" s="1"/>
  <c r="S35" i="38"/>
  <c r="AD35" i="38"/>
  <c r="O35" i="38"/>
  <c r="AC35" i="38"/>
  <c r="AB35" i="38"/>
  <c r="I35" i="38"/>
  <c r="T35" i="38"/>
  <c r="C35" i="38"/>
  <c r="Y35" i="38"/>
  <c r="H35" i="38"/>
  <c r="D35" i="38"/>
  <c r="Z35" i="38"/>
  <c r="AD37" i="38"/>
  <c r="I37" i="38"/>
  <c r="O37" i="38"/>
  <c r="AC37" i="38"/>
  <c r="W37" i="38"/>
  <c r="H37" i="38"/>
  <c r="Q37" i="38"/>
  <c r="D37" i="38"/>
  <c r="AA37" i="38"/>
  <c r="R37" i="38"/>
  <c r="S37" i="38"/>
  <c r="Z37" i="38"/>
  <c r="F37" i="38"/>
  <c r="G37" i="38" s="1"/>
  <c r="AB37" i="38"/>
  <c r="P37" i="38"/>
  <c r="X37" i="38"/>
  <c r="T37" i="38"/>
  <c r="U37" i="38"/>
  <c r="V37" i="38"/>
  <c r="C37" i="38"/>
  <c r="Y37" i="38"/>
  <c r="Q7" i="38"/>
  <c r="T7" i="38"/>
  <c r="P7" i="38"/>
  <c r="N7" i="38"/>
  <c r="S7" i="38"/>
  <c r="C7" i="38"/>
  <c r="D7" i="38"/>
  <c r="F7" i="38"/>
  <c r="G7" i="38" s="1"/>
  <c r="D17" i="38"/>
  <c r="R17" i="38"/>
  <c r="O17" i="38"/>
  <c r="Y17" i="38"/>
  <c r="S17" i="38"/>
  <c r="P17" i="38"/>
  <c r="T17" i="38"/>
  <c r="F17" i="38"/>
  <c r="G17" i="38" s="1"/>
  <c r="AA17" i="38"/>
  <c r="Z17" i="38"/>
  <c r="U17" i="38"/>
  <c r="Q17" i="38"/>
  <c r="C17" i="38"/>
  <c r="AA33" i="38"/>
  <c r="D33" i="38"/>
  <c r="Y33" i="38"/>
  <c r="F33" i="38"/>
  <c r="G33" i="38" s="1"/>
  <c r="T33" i="38"/>
  <c r="Z33" i="38"/>
  <c r="O33" i="38"/>
  <c r="C33" i="38"/>
  <c r="S33" i="38"/>
  <c r="U33" i="38"/>
  <c r="O8" i="38"/>
  <c r="C8" i="38"/>
  <c r="S8" i="38"/>
  <c r="T8" i="38"/>
  <c r="F8" i="38"/>
  <c r="G8" i="38" s="1"/>
  <c r="N8" i="38"/>
  <c r="D8" i="38"/>
  <c r="S21" i="13"/>
  <c r="S22" i="13" s="1"/>
  <c r="S24" i="13" s="1"/>
  <c r="C9" i="38"/>
  <c r="T9" i="38"/>
  <c r="V9" i="38"/>
  <c r="W9" i="38"/>
  <c r="D9" i="38"/>
  <c r="F9" i="38"/>
  <c r="O9" i="38"/>
  <c r="P9" i="38"/>
  <c r="N9" i="38"/>
  <c r="S9" i="38"/>
  <c r="Q9" i="38"/>
  <c r="Y9" i="38"/>
  <c r="Z9" i="38"/>
  <c r="Y16" i="38"/>
  <c r="O16" i="38"/>
  <c r="S16" i="38"/>
  <c r="P16" i="38"/>
  <c r="Q16" i="38"/>
  <c r="C16" i="38"/>
  <c r="F16" i="38"/>
  <c r="G16" i="38" s="1"/>
  <c r="R16" i="38"/>
  <c r="D16" i="38"/>
  <c r="Z16" i="38"/>
  <c r="T16" i="38"/>
  <c r="U16" i="38"/>
  <c r="AA16" i="38"/>
  <c r="F27" i="38"/>
  <c r="G27" i="38" s="1"/>
  <c r="Q27" i="38"/>
  <c r="S27" i="38"/>
  <c r="P27" i="38"/>
  <c r="C27" i="38"/>
  <c r="T27" i="38"/>
  <c r="N27" i="38"/>
  <c r="D27" i="38"/>
  <c r="O27" i="38"/>
  <c r="C36" i="38"/>
  <c r="P36" i="38"/>
  <c r="U36" i="38"/>
  <c r="S36" i="38"/>
  <c r="V36" i="38"/>
  <c r="Q36" i="38"/>
  <c r="R36" i="38"/>
  <c r="W36" i="38"/>
  <c r="X36" i="38"/>
  <c r="D36" i="38"/>
  <c r="F36" i="38"/>
  <c r="G36" i="38" s="1"/>
  <c r="I36" i="38"/>
  <c r="T36" i="38"/>
  <c r="O36" i="38"/>
  <c r="Y36" i="38"/>
  <c r="Z36" i="38"/>
  <c r="AA36" i="38"/>
  <c r="AB36" i="38"/>
  <c r="AC36" i="38"/>
  <c r="H36" i="38"/>
  <c r="AD36" i="38"/>
  <c r="R18" i="38"/>
  <c r="Y18" i="38"/>
  <c r="D18" i="38"/>
  <c r="Z18" i="38"/>
  <c r="C18" i="38"/>
  <c r="AA18" i="38"/>
  <c r="O18" i="38"/>
  <c r="Q18" i="38"/>
  <c r="F18" i="38"/>
  <c r="G18" i="38" s="1"/>
  <c r="P18" i="38"/>
  <c r="T18" i="38"/>
  <c r="U18" i="38"/>
  <c r="S18" i="38"/>
  <c r="N26" i="38"/>
  <c r="P26" i="38"/>
  <c r="O26" i="38"/>
  <c r="Q26" i="38"/>
  <c r="S26" i="38"/>
  <c r="D26" i="38"/>
  <c r="F26" i="38"/>
  <c r="G26" i="38" s="1"/>
  <c r="T26" i="38"/>
  <c r="C26" i="38"/>
  <c r="R9" i="38"/>
  <c r="P34" i="38"/>
  <c r="Q34" i="38"/>
  <c r="AC34" i="38"/>
  <c r="S34" i="38"/>
  <c r="AD34" i="38"/>
  <c r="H34" i="38"/>
  <c r="V34" i="38"/>
  <c r="U34" i="38"/>
  <c r="R34" i="38"/>
  <c r="I34" i="38"/>
  <c r="C34" i="38"/>
  <c r="AA34" i="38"/>
  <c r="AB34" i="38"/>
  <c r="T34" i="38"/>
  <c r="Z34" i="38"/>
  <c r="D34" i="38"/>
  <c r="Y34" i="38"/>
  <c r="X34" i="38"/>
  <c r="W34" i="38"/>
  <c r="F34" i="38"/>
  <c r="G34" i="38" s="1"/>
  <c r="O34" i="38"/>
  <c r="T19" i="38"/>
  <c r="D19" i="38"/>
  <c r="U19" i="38"/>
  <c r="C19" i="38"/>
  <c r="Y19" i="38"/>
  <c r="AA19" i="38"/>
  <c r="F19" i="38"/>
  <c r="G19" i="38" s="1"/>
  <c r="S19" i="38"/>
  <c r="Z19" i="38"/>
  <c r="O19" i="38"/>
  <c r="BS19" i="13"/>
  <c r="AS2" i="13"/>
  <c r="AW2" i="13"/>
  <c r="BE2" i="13"/>
  <c r="AS21" i="13"/>
  <c r="AS22" i="13" s="1"/>
  <c r="AS24" i="13" s="1"/>
  <c r="BE21" i="13"/>
  <c r="BE22" i="13" s="1"/>
  <c r="AW21" i="13"/>
  <c r="AW22" i="13" s="1"/>
  <c r="AX2" i="13"/>
  <c r="AT2" i="13"/>
  <c r="BB2" i="13"/>
  <c r="S72" i="38"/>
  <c r="O72" i="38"/>
  <c r="C72" i="38"/>
  <c r="P72" i="38"/>
  <c r="Q72" i="38"/>
  <c r="AT21" i="13"/>
  <c r="AT22" i="13" s="1"/>
  <c r="AT24" i="13" s="1"/>
  <c r="BB21" i="13"/>
  <c r="BB22" i="13" s="1"/>
  <c r="BB24" i="13" s="1"/>
  <c r="V63" i="38"/>
  <c r="S63" i="38"/>
  <c r="O63" i="38"/>
  <c r="C63" i="38"/>
  <c r="Q63" i="38"/>
  <c r="P63" i="38"/>
  <c r="BS21" i="13"/>
  <c r="BS20" i="13"/>
  <c r="AR20" i="13"/>
  <c r="BD19" i="13"/>
  <c r="AR18" i="13"/>
  <c r="AV20" i="13"/>
  <c r="AZ18" i="13"/>
  <c r="AV18" i="13"/>
  <c r="BD20" i="13"/>
  <c r="AZ20" i="13"/>
  <c r="AR17" i="13"/>
  <c r="AV19" i="13"/>
  <c r="BD18" i="13"/>
  <c r="AR19" i="13"/>
  <c r="AZ19" i="13"/>
  <c r="AB21" i="13"/>
  <c r="AB22" i="13" s="1"/>
  <c r="AB24" i="13" s="1"/>
  <c r="AB26" i="13" s="1"/>
  <c r="R2" i="13"/>
  <c r="P21" i="13"/>
  <c r="P22" i="13" s="1"/>
  <c r="R92" i="38"/>
  <c r="BC3" i="13"/>
  <c r="BC13" i="13"/>
  <c r="BC14" i="13" s="1"/>
  <c r="BC24" i="13" s="1"/>
  <c r="BC26" i="13" s="1"/>
  <c r="R82" i="38"/>
  <c r="BA13" i="13"/>
  <c r="BA14" i="13" s="1"/>
  <c r="BA3" i="13"/>
  <c r="R90" i="38"/>
  <c r="BE3" i="13"/>
  <c r="BE13" i="13"/>
  <c r="BE14" i="13" s="1"/>
  <c r="BG3" i="13"/>
  <c r="BG13" i="13"/>
  <c r="BG14" i="13" s="1"/>
  <c r="BG24" i="13" s="1"/>
  <c r="BG26" i="13" s="1"/>
  <c r="AJ2" i="13"/>
  <c r="AJ26" i="13" s="1"/>
  <c r="AO2" i="13"/>
  <c r="AH2" i="13"/>
  <c r="AH26" i="13" s="1"/>
  <c r="AL2" i="13"/>
  <c r="AG2" i="13"/>
  <c r="AG26" i="13" s="1"/>
  <c r="AN2" i="13"/>
  <c r="AY3" i="13"/>
  <c r="AY12" i="13"/>
  <c r="AY14" i="13" s="1"/>
  <c r="AY24" i="13" s="1"/>
  <c r="AY26" i="13" s="1"/>
  <c r="R63" i="38"/>
  <c r="AV3" i="13"/>
  <c r="AV12" i="13"/>
  <c r="AV14" i="13" s="1"/>
  <c r="BD3" i="13"/>
  <c r="BD13" i="13"/>
  <c r="BD14" i="13" s="1"/>
  <c r="Y22" i="13"/>
  <c r="Y24" i="13" s="1"/>
  <c r="Y26" i="13" s="1"/>
  <c r="P14" i="13"/>
  <c r="T9" i="13"/>
  <c r="T14" i="13" s="1"/>
  <c r="AD19" i="13"/>
  <c r="J21" i="13"/>
  <c r="W19" i="13"/>
  <c r="W21" i="13"/>
  <c r="X21" i="13"/>
  <c r="X22" i="13" s="1"/>
  <c r="X24" i="13" s="1"/>
  <c r="X26" i="13" s="1"/>
  <c r="R19" i="13"/>
  <c r="P13" i="31"/>
  <c r="BM19" i="13" s="1"/>
  <c r="J13" i="13"/>
  <c r="AA22" i="13"/>
  <c r="AA24" i="13" s="1"/>
  <c r="AA26" i="13" s="1"/>
  <c r="AE22" i="13"/>
  <c r="AE24" i="13" s="1"/>
  <c r="AE26" i="13" s="1"/>
  <c r="AC22" i="13"/>
  <c r="AC24" i="13" s="1"/>
  <c r="AC26" i="13" s="1"/>
  <c r="V22" i="13"/>
  <c r="V24" i="13" s="1"/>
  <c r="V26" i="13" s="1"/>
  <c r="J12" i="13"/>
  <c r="H17" i="13"/>
  <c r="S25" i="32"/>
  <c r="BO21" i="13" s="1"/>
  <c r="AW3" i="13"/>
  <c r="AW12" i="13"/>
  <c r="AW14" i="13" s="1"/>
  <c r="AL14" i="13"/>
  <c r="AL22" i="13"/>
  <c r="AZ13" i="13"/>
  <c r="AZ3" i="13"/>
  <c r="AR14" i="13"/>
  <c r="AR3" i="13"/>
  <c r="S28" i="31"/>
  <c r="B53" i="33"/>
  <c r="B33" i="33"/>
  <c r="B42" i="33"/>
  <c r="B22" i="33"/>
  <c r="G60" i="33"/>
  <c r="G59" i="33"/>
  <c r="I52" i="33"/>
  <c r="H52" i="33"/>
  <c r="F52" i="33"/>
  <c r="G52" i="33" s="1"/>
  <c r="D52" i="33"/>
  <c r="C52" i="33"/>
  <c r="E60" i="33"/>
  <c r="C20" i="33"/>
  <c r="F20" i="33"/>
  <c r="G20" i="33" s="1"/>
  <c r="D20" i="33"/>
  <c r="C21" i="33"/>
  <c r="F21" i="33"/>
  <c r="G21" i="33" s="1"/>
  <c r="D21" i="33"/>
  <c r="D41" i="33"/>
  <c r="F41" i="33"/>
  <c r="G41" i="33" s="1"/>
  <c r="C41" i="33"/>
  <c r="C29" i="33"/>
  <c r="F29" i="33"/>
  <c r="G29" i="33" s="1"/>
  <c r="D29" i="33"/>
  <c r="C48" i="33"/>
  <c r="D48" i="33"/>
  <c r="F48" i="33"/>
  <c r="C40" i="33"/>
  <c r="D40" i="33"/>
  <c r="F40" i="33"/>
  <c r="G40" i="33" s="1"/>
  <c r="D19" i="33"/>
  <c r="F19" i="33"/>
  <c r="C19" i="33"/>
  <c r="F28" i="33"/>
  <c r="G28" i="33" s="1"/>
  <c r="H28" i="33"/>
  <c r="D28" i="33"/>
  <c r="I28" i="33"/>
  <c r="C28" i="33"/>
  <c r="T12" i="32"/>
  <c r="U25" i="38"/>
  <c r="C30" i="33"/>
  <c r="F30" i="33"/>
  <c r="G30" i="33" s="1"/>
  <c r="D30" i="33"/>
  <c r="C31" i="33"/>
  <c r="F31" i="33"/>
  <c r="G31" i="33" s="1"/>
  <c r="D31" i="33"/>
  <c r="F39" i="33"/>
  <c r="D39" i="33"/>
  <c r="I50" i="33"/>
  <c r="H50" i="33"/>
  <c r="F50" i="33"/>
  <c r="G50" i="33" s="1"/>
  <c r="D50" i="33"/>
  <c r="C50" i="33"/>
  <c r="X25" i="32"/>
  <c r="I51" i="33"/>
  <c r="H51" i="33"/>
  <c r="D51" i="33"/>
  <c r="C51" i="33"/>
  <c r="F51" i="33"/>
  <c r="G51" i="33" s="1"/>
  <c r="I49" i="33"/>
  <c r="H49" i="33"/>
  <c r="F49" i="33"/>
  <c r="G49" i="33" s="1"/>
  <c r="D49" i="33"/>
  <c r="C49" i="33"/>
  <c r="T25" i="32"/>
  <c r="F32" i="33"/>
  <c r="G32" i="33" s="1"/>
  <c r="D32" i="33"/>
  <c r="C32" i="33"/>
  <c r="U7" i="38"/>
  <c r="L13" i="31"/>
  <c r="Z28" i="31"/>
  <c r="M10" i="13" s="1"/>
  <c r="E15" i="38" l="1"/>
  <c r="K15" i="38"/>
  <c r="J15" i="38"/>
  <c r="J50" i="33"/>
  <c r="E28" i="33"/>
  <c r="G15" i="38"/>
  <c r="E50" i="33"/>
  <c r="J35" i="38"/>
  <c r="E35" i="38"/>
  <c r="K35" i="38"/>
  <c r="L15" i="38"/>
  <c r="J28" i="33"/>
  <c r="L35" i="38"/>
  <c r="J52" i="33"/>
  <c r="L36" i="38"/>
  <c r="L37" i="38"/>
  <c r="K37" i="38"/>
  <c r="E52" i="33"/>
  <c r="E37" i="38"/>
  <c r="J37" i="38"/>
  <c r="L34" i="38"/>
  <c r="J51" i="33"/>
  <c r="J49" i="33"/>
  <c r="K34" i="38"/>
  <c r="E36" i="38"/>
  <c r="J34" i="38"/>
  <c r="K36" i="38"/>
  <c r="J36" i="38"/>
  <c r="E51" i="33"/>
  <c r="E49" i="33"/>
  <c r="E34" i="38"/>
  <c r="AS26" i="13"/>
  <c r="BB26" i="13"/>
  <c r="J27" i="38"/>
  <c r="R21" i="13"/>
  <c r="R22" i="13" s="1"/>
  <c r="R24" i="13" s="1"/>
  <c r="R26" i="13" s="1"/>
  <c r="Q21" i="13"/>
  <c r="Q22" i="13" s="1"/>
  <c r="Q24" i="13" s="1"/>
  <c r="U21" i="13"/>
  <c r="U22" i="13" s="1"/>
  <c r="U24" i="13" s="1"/>
  <c r="V27" i="38"/>
  <c r="W27" i="38"/>
  <c r="E27" i="38"/>
  <c r="U8" i="38"/>
  <c r="U27" i="38"/>
  <c r="R27" i="38"/>
  <c r="X27" i="38"/>
  <c r="AT26" i="13"/>
  <c r="R26" i="38"/>
  <c r="J17" i="13"/>
  <c r="E41" i="33"/>
  <c r="R7" i="38"/>
  <c r="Q8" i="38"/>
  <c r="U26" i="38"/>
  <c r="BF2" i="13"/>
  <c r="AA92" i="38"/>
  <c r="Y92" i="38"/>
  <c r="Z92" i="38"/>
  <c r="N92" i="38"/>
  <c r="F92" i="38"/>
  <c r="U92" i="38"/>
  <c r="BF21" i="13"/>
  <c r="BF22" i="13" s="1"/>
  <c r="BF24" i="13" s="1"/>
  <c r="W92" i="38"/>
  <c r="X92" i="38"/>
  <c r="V92" i="38"/>
  <c r="BE24" i="13"/>
  <c r="BE26" i="13" s="1"/>
  <c r="BA2" i="13"/>
  <c r="Y82" i="38"/>
  <c r="AA82" i="38"/>
  <c r="Z82" i="38"/>
  <c r="BA21" i="13"/>
  <c r="BA22" i="13" s="1"/>
  <c r="BA24" i="13" s="1"/>
  <c r="W82" i="38"/>
  <c r="X82" i="38"/>
  <c r="V82" i="38"/>
  <c r="U82" i="38"/>
  <c r="F82" i="38"/>
  <c r="N90" i="38"/>
  <c r="U90" i="38"/>
  <c r="F90" i="38"/>
  <c r="Y90" i="38"/>
  <c r="AA90" i="38"/>
  <c r="Z90" i="38"/>
  <c r="V90" i="38"/>
  <c r="W90" i="38"/>
  <c r="X90" i="38"/>
  <c r="AX21" i="13"/>
  <c r="AX22" i="13" s="1"/>
  <c r="AX24" i="13" s="1"/>
  <c r="AX26" i="13" s="1"/>
  <c r="X74" i="38"/>
  <c r="W74" i="38"/>
  <c r="V74" i="38"/>
  <c r="V7" i="38"/>
  <c r="R8" i="38"/>
  <c r="P19" i="38"/>
  <c r="Q33" i="38"/>
  <c r="R19" i="38"/>
  <c r="V16" i="38"/>
  <c r="R33" i="38"/>
  <c r="Q19" i="38"/>
  <c r="W33" i="38"/>
  <c r="P33" i="38"/>
  <c r="E8" i="38"/>
  <c r="E26" i="38"/>
  <c r="E18" i="38"/>
  <c r="J18" i="38"/>
  <c r="J8" i="38"/>
  <c r="E17" i="38"/>
  <c r="P8" i="38"/>
  <c r="V25" i="38"/>
  <c r="X16" i="38"/>
  <c r="J19" i="38"/>
  <c r="E16" i="38"/>
  <c r="V26" i="38"/>
  <c r="X9" i="38"/>
  <c r="X26" i="38"/>
  <c r="AA9" i="38"/>
  <c r="U9" i="38"/>
  <c r="J7" i="38"/>
  <c r="W8" i="38"/>
  <c r="V18" i="38"/>
  <c r="E9" i="38"/>
  <c r="E19" i="38"/>
  <c r="X7" i="38"/>
  <c r="J33" i="38"/>
  <c r="Z8" i="38"/>
  <c r="AA8" i="38"/>
  <c r="J17" i="38"/>
  <c r="BR19" i="13"/>
  <c r="X25" i="38"/>
  <c r="W26" i="38"/>
  <c r="W16" i="38"/>
  <c r="E33" i="38"/>
  <c r="X8" i="38"/>
  <c r="R25" i="38"/>
  <c r="W7" i="38"/>
  <c r="H48" i="33"/>
  <c r="H53" i="33" s="1"/>
  <c r="H10" i="33" s="1"/>
  <c r="J9" i="38"/>
  <c r="J26" i="38"/>
  <c r="J16" i="38"/>
  <c r="E7" i="38"/>
  <c r="W18" i="38"/>
  <c r="Y8" i="38"/>
  <c r="X33" i="38"/>
  <c r="W25" i="38"/>
  <c r="G9" i="38"/>
  <c r="V33" i="38"/>
  <c r="X18" i="38"/>
  <c r="V8" i="38"/>
  <c r="AM2" i="13"/>
  <c r="Y44" i="38"/>
  <c r="Z44" i="38"/>
  <c r="AA44" i="38"/>
  <c r="V72" i="38"/>
  <c r="W72" i="38"/>
  <c r="X72" i="38"/>
  <c r="W63" i="38"/>
  <c r="X63" i="38"/>
  <c r="F63" i="38"/>
  <c r="U63" i="38"/>
  <c r="AA72" i="38"/>
  <c r="Z72" i="38"/>
  <c r="Y72" i="38"/>
  <c r="N72" i="38"/>
  <c r="F72" i="38"/>
  <c r="G72" i="38" s="1"/>
  <c r="U72" i="38"/>
  <c r="AI2" i="13"/>
  <c r="AI26" i="13" s="1"/>
  <c r="Z63" i="38"/>
  <c r="AA63" i="38"/>
  <c r="Y63" i="38"/>
  <c r="AZ21" i="13"/>
  <c r="AZ22" i="13" s="1"/>
  <c r="AR21" i="13"/>
  <c r="AR22" i="13" s="1"/>
  <c r="AR24" i="13" s="1"/>
  <c r="BD2" i="13"/>
  <c r="AZ2" i="13"/>
  <c r="AV21" i="13"/>
  <c r="AV22" i="13" s="1"/>
  <c r="AV24" i="13" s="1"/>
  <c r="BD21" i="13"/>
  <c r="BD22" i="13" s="1"/>
  <c r="AR2" i="13"/>
  <c r="AV2" i="13"/>
  <c r="R13" i="31"/>
  <c r="BM21" i="13" s="1"/>
  <c r="I33" i="38"/>
  <c r="K33" i="38" s="1"/>
  <c r="T24" i="13"/>
  <c r="T26" i="13" s="1"/>
  <c r="I82" i="38"/>
  <c r="AM22" i="13"/>
  <c r="I63" i="38"/>
  <c r="AO26" i="13"/>
  <c r="V25" i="32"/>
  <c r="Y25" i="32"/>
  <c r="P24" i="13"/>
  <c r="W22" i="13"/>
  <c r="W24" i="13" s="1"/>
  <c r="W26" i="13" s="1"/>
  <c r="I17" i="38"/>
  <c r="AZ14" i="13"/>
  <c r="AW24" i="13"/>
  <c r="AW26" i="13" s="1"/>
  <c r="AL24" i="13"/>
  <c r="AL26" i="13" s="1"/>
  <c r="X12" i="32"/>
  <c r="M11" i="13" s="1"/>
  <c r="AQ3" i="13"/>
  <c r="G61" i="33"/>
  <c r="G64" i="33" s="1"/>
  <c r="G11" i="33" s="1"/>
  <c r="Z13" i="31"/>
  <c r="U25" i="32"/>
  <c r="B8" i="33"/>
  <c r="B10" i="33"/>
  <c r="B7" i="33"/>
  <c r="B9" i="33"/>
  <c r="C11" i="33"/>
  <c r="E64" i="33"/>
  <c r="I9" i="38"/>
  <c r="K9" i="38" s="1"/>
  <c r="D53" i="33"/>
  <c r="C53" i="33"/>
  <c r="C10" i="33" s="1"/>
  <c r="D42" i="33"/>
  <c r="C33" i="33"/>
  <c r="C8" i="33" s="1"/>
  <c r="D33" i="33"/>
  <c r="G33" i="33"/>
  <c r="G8" i="33" s="1"/>
  <c r="G39" i="33"/>
  <c r="G42" i="33" s="1"/>
  <c r="G9" i="33" s="1"/>
  <c r="F42" i="33"/>
  <c r="F9" i="33" s="1"/>
  <c r="F33" i="33"/>
  <c r="F8" i="33" s="1"/>
  <c r="G48" i="33"/>
  <c r="G53" i="33" s="1"/>
  <c r="G10" i="33" s="1"/>
  <c r="F53" i="33"/>
  <c r="F10" i="33" s="1"/>
  <c r="D22" i="33"/>
  <c r="C22" i="33"/>
  <c r="E21" i="33"/>
  <c r="E30" i="33"/>
  <c r="E20" i="33"/>
  <c r="G19" i="33"/>
  <c r="G22" i="33" s="1"/>
  <c r="F22" i="33"/>
  <c r="E32" i="33"/>
  <c r="E19" i="33"/>
  <c r="E31" i="33"/>
  <c r="E48" i="33"/>
  <c r="E29" i="33"/>
  <c r="E40" i="33"/>
  <c r="U12" i="32"/>
  <c r="S13" i="31"/>
  <c r="G92" i="38" l="1"/>
  <c r="G80" i="33" s="1"/>
  <c r="F80" i="33"/>
  <c r="G63" i="38"/>
  <c r="G69" i="33" s="1"/>
  <c r="F69" i="33"/>
  <c r="L82" i="38"/>
  <c r="I79" i="33"/>
  <c r="G90" i="38"/>
  <c r="G78" i="33" s="1"/>
  <c r="F78" i="33"/>
  <c r="G82" i="38"/>
  <c r="G79" i="33" s="1"/>
  <c r="F79" i="33"/>
  <c r="L63" i="38"/>
  <c r="U2" i="13"/>
  <c r="U26" i="13" s="1"/>
  <c r="Y27" i="38"/>
  <c r="AA27" i="38"/>
  <c r="Z27" i="38"/>
  <c r="I25" i="38"/>
  <c r="I27" i="38"/>
  <c r="D8" i="33"/>
  <c r="D9" i="33"/>
  <c r="D10" i="33"/>
  <c r="Z26" i="38"/>
  <c r="Y26" i="38"/>
  <c r="AA26" i="38"/>
  <c r="S2" i="13"/>
  <c r="S26" i="13" s="1"/>
  <c r="BF26" i="13"/>
  <c r="BA26" i="13"/>
  <c r="H18" i="38"/>
  <c r="AD92" i="38"/>
  <c r="H92" i="38"/>
  <c r="AB92" i="38"/>
  <c r="AC92" i="38"/>
  <c r="AC82" i="38"/>
  <c r="AD82" i="38"/>
  <c r="AB82" i="38"/>
  <c r="H82" i="38"/>
  <c r="AD90" i="38"/>
  <c r="H90" i="38"/>
  <c r="AB90" i="38"/>
  <c r="AC90" i="38"/>
  <c r="H74" i="38"/>
  <c r="AB74" i="38"/>
  <c r="AD74" i="38"/>
  <c r="AC74" i="38"/>
  <c r="AB64" i="38"/>
  <c r="AD64" i="38"/>
  <c r="H64" i="38"/>
  <c r="AC64" i="38"/>
  <c r="I29" i="33"/>
  <c r="J29" i="33" s="1"/>
  <c r="AD18" i="38"/>
  <c r="Q2" i="13"/>
  <c r="Q26" i="13" s="1"/>
  <c r="AA25" i="38"/>
  <c r="Y25" i="38"/>
  <c r="Z25" i="38"/>
  <c r="L33" i="38"/>
  <c r="L9" i="38"/>
  <c r="Z21" i="13"/>
  <c r="Z22" i="13" s="1"/>
  <c r="Z24" i="13" s="1"/>
  <c r="Z26" i="13" s="1"/>
  <c r="W17" i="38"/>
  <c r="V17" i="38"/>
  <c r="X17" i="38"/>
  <c r="I40" i="33"/>
  <c r="J40" i="33" s="1"/>
  <c r="I26" i="38"/>
  <c r="H26" i="38"/>
  <c r="AC26" i="38"/>
  <c r="AB26" i="38"/>
  <c r="AD33" i="38"/>
  <c r="AC33" i="38"/>
  <c r="AB33" i="38"/>
  <c r="H33" i="38"/>
  <c r="L17" i="38"/>
  <c r="K17" i="38"/>
  <c r="AB16" i="38"/>
  <c r="AD16" i="38"/>
  <c r="AC16" i="38"/>
  <c r="H16" i="38"/>
  <c r="H29" i="33"/>
  <c r="AC9" i="38"/>
  <c r="AB9" i="38"/>
  <c r="AD9" i="38"/>
  <c r="H9" i="38"/>
  <c r="I48" i="33"/>
  <c r="AD21" i="13"/>
  <c r="AD22" i="13" s="1"/>
  <c r="AD24" i="13" s="1"/>
  <c r="AD26" i="13" s="1"/>
  <c r="X19" i="38"/>
  <c r="V19" i="38"/>
  <c r="W19" i="38"/>
  <c r="P2" i="13"/>
  <c r="P26" i="13" s="1"/>
  <c r="AA7" i="38"/>
  <c r="Z7" i="38"/>
  <c r="Y7" i="38"/>
  <c r="H72" i="38"/>
  <c r="J72" i="38" s="1"/>
  <c r="AD72" i="38"/>
  <c r="AB72" i="38"/>
  <c r="AC72" i="38"/>
  <c r="AD63" i="38"/>
  <c r="AC63" i="38"/>
  <c r="H63" i="38"/>
  <c r="AB63" i="38"/>
  <c r="AR26" i="13"/>
  <c r="AV26" i="13"/>
  <c r="BD24" i="13"/>
  <c r="I30" i="33"/>
  <c r="J30" i="33" s="1"/>
  <c r="I92" i="38"/>
  <c r="I90" i="38"/>
  <c r="I74" i="38"/>
  <c r="AZ24" i="13"/>
  <c r="AZ26" i="13" s="1"/>
  <c r="Y12" i="32"/>
  <c r="U13" i="31"/>
  <c r="I19" i="38"/>
  <c r="I7" i="38"/>
  <c r="AM24" i="13"/>
  <c r="AM26" i="13" s="1"/>
  <c r="V12" i="32"/>
  <c r="F64" i="33"/>
  <c r="F11" i="33" s="1"/>
  <c r="Z25" i="32"/>
  <c r="AN22" i="13"/>
  <c r="I39" i="33"/>
  <c r="J39" i="33" s="1"/>
  <c r="H41" i="33"/>
  <c r="I41" i="33"/>
  <c r="J41" i="33" s="1"/>
  <c r="E22" i="33"/>
  <c r="E53" i="33"/>
  <c r="E33" i="33"/>
  <c r="I21" i="33"/>
  <c r="J21" i="33" s="1"/>
  <c r="F7" i="33"/>
  <c r="D7" i="33"/>
  <c r="G7" i="33"/>
  <c r="C7" i="33"/>
  <c r="H40" i="33"/>
  <c r="H20" i="33"/>
  <c r="H21" i="33"/>
  <c r="I20" i="33"/>
  <c r="J20" i="33" s="1"/>
  <c r="T13" i="31"/>
  <c r="H8" i="38"/>
  <c r="J82" i="38" l="1"/>
  <c r="J79" i="33" s="1"/>
  <c r="H79" i="33"/>
  <c r="J74" i="38"/>
  <c r="J71" i="33" s="1"/>
  <c r="H71" i="33"/>
  <c r="J63" i="38"/>
  <c r="J69" i="33" s="1"/>
  <c r="H69" i="33"/>
  <c r="J90" i="38"/>
  <c r="J78" i="33" s="1"/>
  <c r="H78" i="33"/>
  <c r="L74" i="38"/>
  <c r="I72" i="33"/>
  <c r="I71" i="33"/>
  <c r="L90" i="38"/>
  <c r="I78" i="33"/>
  <c r="J92" i="38"/>
  <c r="J80" i="33" s="1"/>
  <c r="H80" i="33"/>
  <c r="J64" i="38"/>
  <c r="J70" i="33" s="1"/>
  <c r="H70" i="33"/>
  <c r="L92" i="38"/>
  <c r="I80" i="33"/>
  <c r="L25" i="38"/>
  <c r="K27" i="38"/>
  <c r="L27" i="38"/>
  <c r="AB25" i="38"/>
  <c r="AC27" i="38"/>
  <c r="H27" i="38"/>
  <c r="AB27" i="38"/>
  <c r="AD27" i="38"/>
  <c r="AD26" i="38"/>
  <c r="I8" i="38"/>
  <c r="K8" i="38" s="1"/>
  <c r="I53" i="33"/>
  <c r="J48" i="33"/>
  <c r="AD8" i="38"/>
  <c r="AC8" i="38"/>
  <c r="AB8" i="38"/>
  <c r="AD25" i="38"/>
  <c r="AC25" i="38"/>
  <c r="H25" i="38"/>
  <c r="H39" i="33"/>
  <c r="H42" i="33" s="1"/>
  <c r="H9" i="33" s="1"/>
  <c r="H31" i="33"/>
  <c r="AB18" i="38"/>
  <c r="AC18" i="38"/>
  <c r="I16" i="38"/>
  <c r="K16" i="38" s="1"/>
  <c r="AA13" i="31"/>
  <c r="AB28" i="31"/>
  <c r="H7" i="38"/>
  <c r="AD7" i="38"/>
  <c r="AB7" i="38"/>
  <c r="AC7" i="38"/>
  <c r="I18" i="38"/>
  <c r="I31" i="33"/>
  <c r="J31" i="33" s="1"/>
  <c r="K7" i="38"/>
  <c r="L7" i="38"/>
  <c r="AB13" i="31"/>
  <c r="K19" i="38"/>
  <c r="L19" i="38"/>
  <c r="H17" i="38"/>
  <c r="AB17" i="38"/>
  <c r="AD17" i="38"/>
  <c r="AC17" i="38"/>
  <c r="K26" i="38"/>
  <c r="L26" i="38"/>
  <c r="AD19" i="38"/>
  <c r="H19" i="38"/>
  <c r="AC19" i="38"/>
  <c r="AB19" i="38"/>
  <c r="I72" i="38"/>
  <c r="H44" i="38"/>
  <c r="AC44" i="38"/>
  <c r="AB44" i="38"/>
  <c r="AD44" i="38"/>
  <c r="H55" i="38"/>
  <c r="BD26" i="13"/>
  <c r="I19" i="33"/>
  <c r="AA28" i="31"/>
  <c r="J61" i="33"/>
  <c r="H64" i="33"/>
  <c r="H11" i="33" s="1"/>
  <c r="J60" i="33"/>
  <c r="Z12" i="32"/>
  <c r="I32" i="33"/>
  <c r="J32" i="33" s="1"/>
  <c r="H30" i="33"/>
  <c r="I42" i="33"/>
  <c r="H32" i="33"/>
  <c r="AN24" i="13"/>
  <c r="AN26" i="13" s="1"/>
  <c r="H19" i="33"/>
  <c r="H22" i="33" s="1"/>
  <c r="BT19" i="13"/>
  <c r="BO18" i="13"/>
  <c r="BT18" i="13" s="1"/>
  <c r="BM18" i="13"/>
  <c r="BR18" i="13" s="1"/>
  <c r="BL18" i="13"/>
  <c r="J73" i="33" l="1"/>
  <c r="L72" i="38"/>
  <c r="I69" i="33"/>
  <c r="J82" i="33"/>
  <c r="L8" i="38"/>
  <c r="I22" i="33"/>
  <c r="J22" i="33" s="1"/>
  <c r="J19" i="33"/>
  <c r="I9" i="33"/>
  <c r="J9" i="33" s="1"/>
  <c r="J42" i="33"/>
  <c r="I10" i="33"/>
  <c r="J10" i="33" s="1"/>
  <c r="J53" i="33"/>
  <c r="L16" i="38"/>
  <c r="I33" i="33"/>
  <c r="K18" i="38"/>
  <c r="L18" i="38"/>
  <c r="K44" i="38"/>
  <c r="L44" i="38"/>
  <c r="K55" i="38"/>
  <c r="L55" i="38"/>
  <c r="BQ18" i="13"/>
  <c r="N18" i="13"/>
  <c r="I64" i="33"/>
  <c r="H33" i="33"/>
  <c r="H8" i="33" s="1"/>
  <c r="H7" i="33"/>
  <c r="I8" i="33" l="1"/>
  <c r="J8" i="33" s="1"/>
  <c r="J33" i="33"/>
  <c r="I11" i="33"/>
  <c r="J11" i="33" s="1"/>
  <c r="J64" i="33"/>
  <c r="I7" i="33"/>
  <c r="J7" i="33" s="1"/>
  <c r="M9" i="13"/>
  <c r="N9" i="13" s="1"/>
  <c r="D20" i="13" l="1"/>
  <c r="E11" i="12"/>
  <c r="E19" i="12"/>
  <c r="E18" i="12"/>
  <c r="E17" i="12"/>
  <c r="E16" i="12"/>
  <c r="E12" i="12"/>
  <c r="E6" i="12"/>
  <c r="N29" i="13" s="1"/>
  <c r="N30" i="13"/>
  <c r="E8" i="12"/>
  <c r="N32" i="13" s="1"/>
  <c r="E9" i="12"/>
  <c r="N31" i="13" s="1"/>
  <c r="E10" i="12"/>
  <c r="E21" i="12" l="1"/>
  <c r="D14" i="13"/>
  <c r="C15" i="13"/>
  <c r="C16" i="13"/>
  <c r="D15" i="13"/>
  <c r="D9" i="13"/>
  <c r="D10" i="13" s="1"/>
  <c r="D16" i="13"/>
  <c r="C20" i="13"/>
  <c r="E20" i="13" s="1"/>
  <c r="C19" i="13"/>
  <c r="D19" i="13"/>
  <c r="D21" i="13" s="1"/>
  <c r="D12" i="13"/>
  <c r="C9" i="13"/>
  <c r="C10" i="13" s="1"/>
  <c r="C12" i="13"/>
  <c r="C13" i="13"/>
  <c r="D13" i="13"/>
  <c r="C14" i="13"/>
  <c r="BN17" i="13"/>
  <c r="BR21" i="13"/>
  <c r="BW13" i="13"/>
  <c r="BS17" i="13" l="1"/>
  <c r="BN22" i="13"/>
  <c r="BS22" i="13" s="1"/>
  <c r="N33" i="13"/>
  <c r="E15" i="13"/>
  <c r="E14" i="13"/>
  <c r="BT21" i="13"/>
  <c r="D17" i="13"/>
  <c r="D23" i="13" s="1"/>
  <c r="D25" i="13" s="1"/>
  <c r="E9" i="13"/>
  <c r="E13" i="13"/>
  <c r="E16" i="13"/>
  <c r="C17" i="13"/>
  <c r="E19" i="13"/>
  <c r="E12" i="13"/>
  <c r="C21" i="13"/>
  <c r="BT20" i="13"/>
  <c r="BM17" i="13"/>
  <c r="BI18" i="13"/>
  <c r="BR17" i="13" l="1"/>
  <c r="BM22" i="13"/>
  <c r="E10" i="13"/>
  <c r="E21" i="13"/>
  <c r="BR20" i="13"/>
  <c r="E17" i="13"/>
  <c r="C23" i="13"/>
  <c r="C25" i="13" s="1"/>
  <c r="L10" i="3"/>
  <c r="L11" i="3"/>
  <c r="L12" i="3"/>
  <c r="L9" i="3"/>
  <c r="L6" i="3"/>
  <c r="L7" i="3"/>
  <c r="L8" i="3"/>
  <c r="A69" i="33" l="1"/>
  <c r="A72" i="33"/>
  <c r="A81" i="33"/>
  <c r="A80" i="33"/>
  <c r="A71" i="33"/>
  <c r="A70" i="33"/>
  <c r="A78" i="33"/>
  <c r="A79" i="33"/>
  <c r="E23" i="13"/>
  <c r="BR22" i="13"/>
  <c r="BO17" i="13"/>
  <c r="F17" i="13" l="1"/>
  <c r="E25" i="13"/>
  <c r="BT17" i="13"/>
  <c r="BO22" i="13"/>
  <c r="BT22" i="13" s="1"/>
  <c r="B13" i="33"/>
  <c r="F21" i="13"/>
  <c r="E24" i="13"/>
  <c r="D24" i="13"/>
  <c r="C24" i="13"/>
  <c r="F12" i="13"/>
  <c r="F9" i="13"/>
  <c r="F19" i="13"/>
  <c r="F10" i="13"/>
  <c r="F23" i="13"/>
  <c r="F20" i="13"/>
  <c r="F16" i="13"/>
  <c r="F13" i="13"/>
  <c r="F14" i="13"/>
  <c r="F15" i="13"/>
  <c r="D82" i="33" l="1"/>
  <c r="D13" i="33" s="1"/>
  <c r="B14" i="33"/>
  <c r="C13" i="33"/>
  <c r="C12" i="33"/>
  <c r="I82" i="33" l="1"/>
  <c r="I13" i="33" s="1"/>
  <c r="J13" i="33" s="1"/>
  <c r="H82" i="33"/>
  <c r="H13" i="33" s="1"/>
  <c r="G82" i="33" l="1"/>
  <c r="G13" i="33" s="1"/>
  <c r="F82" i="33"/>
  <c r="F13" i="33" s="1"/>
  <c r="N13" i="13"/>
  <c r="BI13" i="13" s="1"/>
  <c r="A6" i="3" l="1"/>
  <c r="A13" i="3"/>
  <c r="BO32" i="13" l="1"/>
  <c r="D73" i="33" l="1"/>
  <c r="D12" i="33" s="1"/>
  <c r="F73" i="33"/>
  <c r="F12" i="33" s="1"/>
  <c r="F14" i="33" s="1"/>
  <c r="G73" i="33"/>
  <c r="G12" i="33" s="1"/>
  <c r="G14" i="33" s="1"/>
  <c r="N12" i="13"/>
  <c r="BI12" i="13" s="1"/>
  <c r="D14" i="33" l="1"/>
  <c r="BN32" i="13"/>
  <c r="BT23" i="13" l="1"/>
  <c r="N11" i="13"/>
  <c r="BI11" i="13" s="1"/>
  <c r="A7" i="3"/>
  <c r="A10" i="3"/>
  <c r="A11" i="3"/>
  <c r="A12" i="3"/>
  <c r="A14" i="3"/>
  <c r="M14" i="13" l="1"/>
  <c r="BM32" i="13" l="1"/>
  <c r="BI9" i="13"/>
  <c r="N10" i="13"/>
  <c r="BI10" i="13" s="1"/>
  <c r="N14" i="13" l="1"/>
  <c r="BR23" i="13"/>
  <c r="BI14" i="13" l="1"/>
  <c r="I73" i="33"/>
  <c r="I12" i="33" s="1"/>
  <c r="H73" i="33"/>
  <c r="H12" i="33" s="1"/>
  <c r="H14" i="33" s="1"/>
  <c r="I14" i="33" l="1"/>
  <c r="J14" i="33" s="1"/>
  <c r="J12" i="33"/>
  <c r="U28" i="31"/>
  <c r="BQ23" i="13" s="1"/>
  <c r="BL32" i="13"/>
  <c r="R28" i="31"/>
  <c r="BL21" i="13" s="1"/>
  <c r="N21" i="13" s="1"/>
  <c r="M28" i="31"/>
  <c r="BL17" i="13" s="1"/>
  <c r="N17" i="13" s="1"/>
  <c r="P28" i="31"/>
  <c r="BL19" i="13" s="1"/>
  <c r="Q28" i="31"/>
  <c r="BL20" i="13" s="1"/>
  <c r="N20" i="13" s="1"/>
  <c r="T28" i="31"/>
  <c r="L28" i="31"/>
  <c r="N28" i="31"/>
  <c r="K28" i="31"/>
  <c r="N19" i="13" l="1"/>
  <c r="BI19" i="13" s="1"/>
  <c r="BQ19" i="13"/>
  <c r="BL22" i="13"/>
  <c r="BQ22" i="13" s="1"/>
  <c r="BI20" i="13"/>
  <c r="BQ21" i="13"/>
  <c r="BQ20" i="13"/>
  <c r="BI17" i="13"/>
  <c r="BQ17" i="13"/>
  <c r="BI21" i="13"/>
  <c r="N22" i="13" l="1"/>
  <c r="BI22" i="13" s="1"/>
  <c r="N39" i="13" l="1"/>
  <c r="N42" i="13" s="1"/>
  <c r="N24" i="13"/>
  <c r="BI24" i="13" l="1"/>
  <c r="N35" i="13"/>
  <c r="N26" i="13"/>
  <c r="BI26" i="13" s="1"/>
  <c r="N44" i="13" l="1"/>
  <c r="N43" i="13"/>
  <c r="G6" i="31" l="1"/>
  <c r="Y6" i="31"/>
  <c r="C39" i="33" s="1"/>
  <c r="E39" i="33" s="1"/>
  <c r="H9" i="13" l="1"/>
  <c r="J9" i="13" s="1"/>
  <c r="C25" i="38"/>
  <c r="J25" i="38" s="1"/>
  <c r="Y13" i="31"/>
  <c r="C42" i="33"/>
  <c r="K25" i="38" l="1"/>
  <c r="E25" i="38"/>
  <c r="H10" i="13"/>
  <c r="J10" i="13" s="1"/>
  <c r="C9" i="33"/>
  <c r="C14" i="33" s="1"/>
  <c r="E42" i="33"/>
  <c r="H23" i="13" l="1"/>
  <c r="J23" i="13" s="1"/>
  <c r="AE15" i="31"/>
  <c r="AI15" i="31" s="1"/>
</calcChain>
</file>

<file path=xl/sharedStrings.xml><?xml version="1.0" encoding="utf-8"?>
<sst xmlns="http://schemas.openxmlformats.org/spreadsheetml/2006/main" count="1624" uniqueCount="293">
  <si>
    <t>Doel</t>
  </si>
  <si>
    <t>Het doel is dat ontwikkelaars hun businesscase kunnen invullen, zodat de gemeente deze op hoofdlijnen kan toetsen.</t>
  </si>
  <si>
    <t>De groene tabbladen zijn invoerbladen (hier moeten de projectgegevens ingevuld worden)</t>
  </si>
  <si>
    <t>De lichtgrijze cellen, met rode tekst zijn beveiligd</t>
  </si>
  <si>
    <t>De gele tabbladen zijn uitvoerbladen</t>
  </si>
  <si>
    <t>Instructie tabbladen</t>
  </si>
  <si>
    <t>Titelblad</t>
  </si>
  <si>
    <t>Vul hier de gegevens is, deze worden (deels) overgenomen in de andere bladen</t>
  </si>
  <si>
    <t>Invulblad WB</t>
  </si>
  <si>
    <t>Hier kun je de gegevens van de woningen invullen</t>
  </si>
  <si>
    <t>De informatie moet per woning ingevoerd worden</t>
  </si>
  <si>
    <t>invuldblad NWB</t>
  </si>
  <si>
    <t>Hier kun je de gegevens van de niet-woningen invullen</t>
  </si>
  <si>
    <t>Voor de niet-woningbouw moet de informatie per m² bvo/m² vvo ingevoerd worden</t>
  </si>
  <si>
    <t>Voor het parkeren moet de inforamtie per parkeerplaats ingevuld worden</t>
  </si>
  <si>
    <t>Invulblad grex</t>
  </si>
  <si>
    <t>Hier kunnen de grondkosten (excl. onvoorzien) ingevuld worden</t>
  </si>
  <si>
    <t>Dashboard project</t>
  </si>
  <si>
    <t>Samenvatting van het project</t>
  </si>
  <si>
    <t>Dashboard per categorie</t>
  </si>
  <si>
    <t>Samenvatting van per categorie</t>
  </si>
  <si>
    <t>Kengetallen</t>
  </si>
  <si>
    <t>Hier staan de kengetallen per eenheid (woning, m² bvo/m² gbo of parkeerplaats)</t>
  </si>
  <si>
    <t xml:space="preserve">Er is een uitgebreidere instructie beschikbaar </t>
  </si>
  <si>
    <t>Projectnaam:</t>
  </si>
  <si>
    <t>Naam project</t>
  </si>
  <si>
    <t>Ontwikkelaar(s):</t>
  </si>
  <si>
    <t>Naam initiatiefnemer(s)</t>
  </si>
  <si>
    <t>Datum tekening:</t>
  </si>
  <si>
    <t>datum</t>
  </si>
  <si>
    <t>Datum berekening:</t>
  </si>
  <si>
    <t>Versie</t>
  </si>
  <si>
    <t>1.0</t>
  </si>
  <si>
    <t>Bijgewerkt tot:</t>
  </si>
  <si>
    <t>Opmerkingen:</t>
  </si>
  <si>
    <t>Invulblad woningbouw</t>
  </si>
  <si>
    <t>Deze cellen zijn beveiligd</t>
  </si>
  <si>
    <t>Waarde per</t>
  </si>
  <si>
    <t>Huurwoningen</t>
  </si>
  <si>
    <t>aantal type woningen</t>
  </si>
  <si>
    <t>woning</t>
  </si>
  <si>
    <t>Stichtingskosten</t>
  </si>
  <si>
    <t>Residuele 
grondwaarde</t>
  </si>
  <si>
    <t>jaarhuur</t>
  </si>
  <si>
    <t>Bouwkosten</t>
  </si>
  <si>
    <t>Extra kosten</t>
  </si>
  <si>
    <t>Bijkomende kosten (excl. W&amp;R)</t>
  </si>
  <si>
    <t>Rente
kosten</t>
  </si>
  <si>
    <t>Algemene kosten</t>
  </si>
  <si>
    <t>Winst en risico</t>
  </si>
  <si>
    <t>Woningnaam</t>
  </si>
  <si>
    <t>Woningcategorie</t>
  </si>
  <si>
    <t>Soort</t>
  </si>
  <si>
    <t>Type</t>
  </si>
  <si>
    <t>Aantal
woningen</t>
  </si>
  <si>
    <t>Oppervlakte
m² bvo</t>
  </si>
  <si>
    <t>Vormfactor</t>
  </si>
  <si>
    <t>Oppervlakte
m² gbo</t>
  </si>
  <si>
    <t>Maandhuur per woning</t>
  </si>
  <si>
    <t>Bar</t>
  </si>
  <si>
    <t>Huurwaarde
incl. BTW</t>
  </si>
  <si>
    <t>Huurwaarde
excl. BTW</t>
  </si>
  <si>
    <t>Bouwkosten
per woning</t>
  </si>
  <si>
    <t>Omschrijving
extra kosten</t>
  </si>
  <si>
    <t>Bijkomende
kosten</t>
  </si>
  <si>
    <t>Rente-
kosten</t>
  </si>
  <si>
    <t>Algemene
kosten</t>
  </si>
  <si>
    <t>Winst en
risico</t>
  </si>
  <si>
    <t>Totale
stichtingskosten</t>
  </si>
  <si>
    <t>Grondquote</t>
  </si>
  <si>
    <t>Totaal
m² bvo</t>
  </si>
  <si>
    <t>Totaal
m² gbo</t>
  </si>
  <si>
    <t>Totaal huurwaarde
excl. BTW</t>
  </si>
  <si>
    <t>Totaal
stichtingskosten</t>
  </si>
  <si>
    <t>Totaal
grondwaarde</t>
  </si>
  <si>
    <t>incl. btw</t>
  </si>
  <si>
    <t>per woning</t>
  </si>
  <si>
    <t>Type invullen</t>
  </si>
  <si>
    <t>tekst</t>
  </si>
  <si>
    <t>Totaal</t>
  </si>
  <si>
    <t>Koopwoningen</t>
  </si>
  <si>
    <t>VON-prijs
incl. BTW</t>
  </si>
  <si>
    <t>VON-prijs
excl. BTW</t>
  </si>
  <si>
    <t>Totaal VON
excl. BTW</t>
  </si>
  <si>
    <t>meer kolommen invullen dan getoond --&gt; Vergeet dan niet de formules door te trekken (ook vanaf kolom AB e.v.)</t>
  </si>
  <si>
    <t>huurwoning</t>
  </si>
  <si>
    <t>woningtype</t>
  </si>
  <si>
    <t>koopwoning</t>
  </si>
  <si>
    <t>Invulblad niet-woningbouw</t>
  </si>
  <si>
    <t>Niet-woningbouw</t>
  </si>
  <si>
    <t>aantal type niet-woningbouw</t>
  </si>
  <si>
    <t>verhuur</t>
  </si>
  <si>
    <t>verkoop</t>
  </si>
  <si>
    <t>Omschrijving</t>
  </si>
  <si>
    <t>Categorie</t>
  </si>
  <si>
    <t>Opper-vlakte
m² bvo</t>
  </si>
  <si>
    <t>Oppervlakte
m² vvo</t>
  </si>
  <si>
    <t>Huur/verkoop</t>
  </si>
  <si>
    <t>Jaarhuur
per m² vvo</t>
  </si>
  <si>
    <t>Verkoop-prijs</t>
  </si>
  <si>
    <t>Waarde per 
m² vvo</t>
  </si>
  <si>
    <t>Bouwkosten
per m² bvo</t>
  </si>
  <si>
    <t>Extra kosten 
per m² bvo</t>
  </si>
  <si>
    <t>Bijkomende
kosten per m² bvo</t>
  </si>
  <si>
    <t>Rente-
kosten per m² bvo</t>
  </si>
  <si>
    <t>Algemene
kosten per m² bvo</t>
  </si>
  <si>
    <t>Winst en
risico per m² bvo</t>
  </si>
  <si>
    <t>Totale
stichtingskosten per m² bvo</t>
  </si>
  <si>
    <t>Residuele 
grondwaarde
excl. BTW</t>
  </si>
  <si>
    <t>Totaal waarde</t>
  </si>
  <si>
    <t>Totaal
grondwaarde
excl. BTW</t>
  </si>
  <si>
    <t>aantal</t>
  </si>
  <si>
    <t>m² bvo</t>
  </si>
  <si>
    <t>m²vvo</t>
  </si>
  <si>
    <t>huurwaarde</t>
  </si>
  <si>
    <t>verkoopwaarde excl. btw</t>
  </si>
  <si>
    <t>bouwkosten</t>
  </si>
  <si>
    <t>extra kosten</t>
  </si>
  <si>
    <t>bijkomende kosten</t>
  </si>
  <si>
    <t>rentekosten</t>
  </si>
  <si>
    <t>algemene kosten</t>
  </si>
  <si>
    <t>grondwaarde</t>
  </si>
  <si>
    <t>waarde</t>
  </si>
  <si>
    <t>Parkeren</t>
  </si>
  <si>
    <t>aantal type parkeerplaatsen</t>
  </si>
  <si>
    <t>Autoparkeren</t>
  </si>
  <si>
    <t>Fietsparkeren</t>
  </si>
  <si>
    <t>Toelichting</t>
  </si>
  <si>
    <t>Soort 
parkeerplaats</t>
  </si>
  <si>
    <t>Type
parkeerplaats</t>
  </si>
  <si>
    <t>Aantal
parkeerplaatsen</t>
  </si>
  <si>
    <t>Maandhuur</t>
  </si>
  <si>
    <t>Verkoop-prijs incl. BTW</t>
  </si>
  <si>
    <t>Waarde
incl. BTW</t>
  </si>
  <si>
    <t>Waarde
excl. BTW</t>
  </si>
  <si>
    <t>Bouwkosten per
parkeerplaats</t>
  </si>
  <si>
    <t>Extra kosten per parkeerplaats</t>
  </si>
  <si>
    <t>Totale stichtings-
kosten per
parkeerplaats</t>
  </si>
  <si>
    <t>Residuele 
grondwaarde per
parkeerplaats</t>
  </si>
  <si>
    <t>maandhuur tot</t>
  </si>
  <si>
    <t>jaarhuur tot</t>
  </si>
  <si>
    <t>niet-woningbouw</t>
  </si>
  <si>
    <t>Parkeerplaats</t>
  </si>
  <si>
    <t>Invulblad kosten grondexploitatie</t>
  </si>
  <si>
    <t>Hoeveelheid</t>
  </si>
  <si>
    <t>Eenheid</t>
  </si>
  <si>
    <t>Eenheidsprijs</t>
  </si>
  <si>
    <t>Totaalprijs</t>
  </si>
  <si>
    <t>Kostensoort</t>
  </si>
  <si>
    <t>Aankoop + bijkomend</t>
  </si>
  <si>
    <t>post</t>
  </si>
  <si>
    <t>Civiele werken</t>
  </si>
  <si>
    <t>Kostenverhaal gemeente</t>
  </si>
  <si>
    <t>Overige kosten</t>
  </si>
  <si>
    <t>Plankosten</t>
  </si>
  <si>
    <t xml:space="preserve">Totaal kosten grondexploitatie </t>
  </si>
  <si>
    <t>Sociale huur</t>
  </si>
  <si>
    <t>Kantoren</t>
  </si>
  <si>
    <t>Commerciële voorzieningen</t>
  </si>
  <si>
    <t>Niet-commerciële voorzieningen</t>
  </si>
  <si>
    <t>Bedrijven</t>
  </si>
  <si>
    <t>Overig</t>
  </si>
  <si>
    <t>Ondergronds</t>
  </si>
  <si>
    <t>Bovengronds</t>
  </si>
  <si>
    <t>Gemengd</t>
  </si>
  <si>
    <t>Maaiveld</t>
  </si>
  <si>
    <t>Woningbouwprogramma</t>
  </si>
  <si>
    <t>Eengezins</t>
  </si>
  <si>
    <t>Meergezins</t>
  </si>
  <si>
    <t>Aandeel</t>
  </si>
  <si>
    <t>M² gbo</t>
  </si>
  <si>
    <t>M² bvo</t>
  </si>
  <si>
    <t>Opbrengsten</t>
  </si>
  <si>
    <t>Incl. BTW</t>
  </si>
  <si>
    <t>Excl. BTW</t>
  </si>
  <si>
    <t>controle</t>
  </si>
  <si>
    <t>huur</t>
  </si>
  <si>
    <t>Waarde huurwoningen</t>
  </si>
  <si>
    <t>Totaal sociale huur</t>
  </si>
  <si>
    <t>VON-prijzen koopwoningen</t>
  </si>
  <si>
    <t>Waarde niet-woningbouw</t>
  </si>
  <si>
    <t>Waarde autoparkeren</t>
  </si>
  <si>
    <t>koop</t>
  </si>
  <si>
    <t>Waarde fietsparkeren</t>
  </si>
  <si>
    <t>koopwoningen</t>
  </si>
  <si>
    <t>huurwoningen</t>
  </si>
  <si>
    <t>parkeren</t>
  </si>
  <si>
    <t>check</t>
  </si>
  <si>
    <t>Stichtingskosten excl. W&amp;R</t>
  </si>
  <si>
    <t>Totaal middelduur</t>
  </si>
  <si>
    <t>Totaal vrije sector</t>
  </si>
  <si>
    <t>Totaal Stichtingskosten excl. W&amp;R</t>
  </si>
  <si>
    <t>Totaal wonen</t>
  </si>
  <si>
    <t>Aandeel totaal</t>
  </si>
  <si>
    <t>Residuele grondwaarde (excl. W&amp;R)</t>
  </si>
  <si>
    <t>Aandeel betaalbaar</t>
  </si>
  <si>
    <t>Residuele grondwaarde (incl. W&amp;R als referentie)</t>
  </si>
  <si>
    <t>Niet-woningbouwprogramma</t>
  </si>
  <si>
    <t>M² vvo</t>
  </si>
  <si>
    <t>Grondexploitaatiekosten (excl. aankoop grond)</t>
  </si>
  <si>
    <t>Civiele kosten</t>
  </si>
  <si>
    <t>Kostenverhaal</t>
  </si>
  <si>
    <t>Plankosten en VTU</t>
  </si>
  <si>
    <t>Overige grexkosten</t>
  </si>
  <si>
    <t>Totaal grondexploitatiekosten (excl.aankoop grond)</t>
  </si>
  <si>
    <t>Totaal niet-woningbouw</t>
  </si>
  <si>
    <t>Resultaat grondexploitatie (excl. aankoop grond &amp; W&amp;R)</t>
  </si>
  <si>
    <t>Onvoorzien</t>
  </si>
  <si>
    <t>Aankoop grond</t>
  </si>
  <si>
    <t>Totaal kosten (excl. W&amp;R)</t>
  </si>
  <si>
    <t>Projectresultaat</t>
  </si>
  <si>
    <t>Resultaat / winst en risico</t>
  </si>
  <si>
    <t>Winst en risico / waarde excl. BTW</t>
  </si>
  <si>
    <t>Winst en risico / kosten</t>
  </si>
  <si>
    <t>Totale waarden, per ontwikkelcategorie</t>
  </si>
  <si>
    <t>Samenvatting totalen</t>
  </si>
  <si>
    <t>Grondwaarde</t>
  </si>
  <si>
    <t>m² vvo</t>
  </si>
  <si>
    <t>stichtingskosten</t>
  </si>
  <si>
    <t>per m² bvo</t>
  </si>
  <si>
    <t>excl. btw</t>
  </si>
  <si>
    <t>Eengezins huurwoningen</t>
  </si>
  <si>
    <t>Eengezins koopwoningen</t>
  </si>
  <si>
    <t>Meergezins huurwoningen</t>
  </si>
  <si>
    <t>Meergezins koopwoningen</t>
  </si>
  <si>
    <t>Totalen</t>
  </si>
  <si>
    <t>Aantal</t>
  </si>
  <si>
    <t>Vorm-</t>
  </si>
  <si>
    <t>m² gbo</t>
  </si>
  <si>
    <t>factor</t>
  </si>
  <si>
    <t>woningcategorie</t>
  </si>
  <si>
    <t>per woningcategorie</t>
  </si>
  <si>
    <t>Nog te verbergen</t>
  </si>
  <si>
    <t>Sociale huur (tot € 900,-)</t>
  </si>
  <si>
    <t>Middenhuur (van € 900 tot € 1.184)</t>
  </si>
  <si>
    <t>Dure huur (vanaf € 1.184)</t>
  </si>
  <si>
    <t>Sociale koop (tot € 240.000)</t>
  </si>
  <si>
    <t>Lage middeldure koop (van € 240.000 tot € 285.000)</t>
  </si>
  <si>
    <t>Midden middeldure koop (van € 285.000 tot € 330.000)</t>
  </si>
  <si>
    <t>Hoge middeldure koop (van € 330.000 tot € 405.000)</t>
  </si>
  <si>
    <t>Dure koop (vanaf € 405.000)</t>
  </si>
  <si>
    <t>Niet-woningbouwcategorie</t>
  </si>
  <si>
    <t>Waarde</t>
  </si>
  <si>
    <t>Parkeercategorie</t>
  </si>
  <si>
    <t>Autoparkeren huur en koop</t>
  </si>
  <si>
    <t>Fietsparkeren huur en koop</t>
  </si>
  <si>
    <t>Gemiddelde</t>
  </si>
  <si>
    <t xml:space="preserve">Bruto </t>
  </si>
  <si>
    <t>Bijkomende kosten</t>
  </si>
  <si>
    <t>Rentekosten</t>
  </si>
  <si>
    <t>per m² gbo</t>
  </si>
  <si>
    <t>aanvangs-</t>
  </si>
  <si>
    <t>% bouwkosten</t>
  </si>
  <si>
    <t>% waarde excl. BTW</t>
  </si>
  <si>
    <t>incl. BTW</t>
  </si>
  <si>
    <t>excl. BTW</t>
  </si>
  <si>
    <t>rendement</t>
  </si>
  <si>
    <t>Koop</t>
  </si>
  <si>
    <t>per m² vvo</t>
  </si>
  <si>
    <t>Huur</t>
  </si>
  <si>
    <t>per ppn</t>
  </si>
  <si>
    <t>parkeerplaats</t>
  </si>
  <si>
    <t>per parkeer-</t>
  </si>
  <si>
    <t>per parkeerplaats</t>
  </si>
  <si>
    <t>plaats</t>
  </si>
  <si>
    <t>Grex kosten</t>
  </si>
  <si>
    <t>Parkeren soort</t>
  </si>
  <si>
    <t>Parkeren Type</t>
  </si>
  <si>
    <t>verkoop/-huur</t>
  </si>
  <si>
    <t>(tot € 900,-)</t>
  </si>
  <si>
    <t>Appartement</t>
  </si>
  <si>
    <t>Aankoopkosten</t>
  </si>
  <si>
    <t>Middenhuur</t>
  </si>
  <si>
    <t>(van € 900 tot € 1.184)</t>
  </si>
  <si>
    <t>Rijwoning</t>
  </si>
  <si>
    <t>Dure huur</t>
  </si>
  <si>
    <t>(vanaf € 1.184)</t>
  </si>
  <si>
    <t>Hoekwoning</t>
  </si>
  <si>
    <t>2^1-kap</t>
  </si>
  <si>
    <t>Vrijstaand</t>
  </si>
  <si>
    <t>Sociale koop</t>
  </si>
  <si>
    <t>(tot € 240.000)</t>
  </si>
  <si>
    <t>Rug-aan-rug</t>
  </si>
  <si>
    <t>Lage middeldure koop</t>
  </si>
  <si>
    <t>(van € 240.000 tot € 285.000)</t>
  </si>
  <si>
    <t>Bebo</t>
  </si>
  <si>
    <t>Midden middeldure koop</t>
  </si>
  <si>
    <t>(van € 285.000 tot € 330.000)</t>
  </si>
  <si>
    <t>Vrije kavel</t>
  </si>
  <si>
    <t>Hoge middeldure koop</t>
  </si>
  <si>
    <t>(van € 330.000 tot € 405.000)</t>
  </si>
  <si>
    <t>Dure koop</t>
  </si>
  <si>
    <t>(vanaf € 405.000)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</si>
</sst>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&quot;€&quot;* #,##0.00_);_(&quot;€&quot;* \(#,##0.00\);_(&quot;€&quot;* &quot;-&quot;??_);_(@_)"/>
    <numFmt numFmtId="165" formatCode="_ * #,##0_ ;_ * \-#,##0_ ;_ * &quot;-&quot;??_ ;_ @_ "/>
    <numFmt numFmtId="166" formatCode="_ &quot;€&quot;\ * #,##0_ ;_ &quot;€&quot;\ * \-#,##0_ ;_ &quot;€&quot;\ * &quot;-&quot;??_ ;_ @_ "/>
    <numFmt numFmtId="167" formatCode="0.0"/>
    <numFmt numFmtId="168" formatCode="0.0%"/>
    <numFmt numFmtId="169" formatCode="_ * #,##0.0_ ;_ * \-#,##0.0_ ;_ * &quot;-&quot;??_ ;_ @_ "/>
    <numFmt numFmtId="170" formatCode="_(* #,##0_);_(* \(#,##0\);_(* &quot;-&quot;??_);_(@_)"/>
    <numFmt numFmtId="171" formatCode="_(&quot;€&quot;* #,##0_);_(&quot;€&quot;* \(#,##0\);_(&quot;€&quot;* &quot;-&quot;??_);_(@_)"/>
    <numFmt numFmtId="172" formatCode="_ &quot;€&quot;\ * #,##0.0_ ;_ &quot;€&quot;\ * \-#,##0.0_ ;_ &quot;€&quot;\ * &quot;-&quot;?_ ;_ @_ "/>
    <numFmt numFmtId="173" formatCode="_ * #,##0.000_ ;_ * \-#,##0.000_ ;_ * &quot;-&quot;??_ ;_ @_ "/>
    <numFmt numFmtId="174" formatCode="[$-413]d\ mmmm\ yy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9"/>
      <color theme="1"/>
      <name val="Century Gothic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5" tint="-0.499984740745262"/>
      <name val="Calibri"/>
      <family val="2"/>
    </font>
    <font>
      <sz val="11"/>
      <color theme="5" tint="-0.49998474074526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5" tint="-0.499984740745262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24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double">
        <color theme="0" tint="-0.249977111117893"/>
      </top>
      <bottom/>
      <diagonal/>
    </border>
    <border>
      <left/>
      <right/>
      <top style="double">
        <color theme="0" tint="-0.249977111117893"/>
      </top>
      <bottom style="double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/>
      <top style="thin">
        <color theme="0" tint="-0.249977111117893"/>
      </top>
      <bottom style="double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8">
    <xf numFmtId="0" fontId="0" fillId="0" borderId="0" xfId="0"/>
    <xf numFmtId="165" fontId="10" fillId="3" borderId="5" xfId="16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5" fontId="10" fillId="3" borderId="0" xfId="16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5" fontId="10" fillId="3" borderId="5" xfId="16" applyNumberFormat="1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168" fontId="0" fillId="0" borderId="5" xfId="2" applyNumberFormat="1" applyFont="1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165" fontId="0" fillId="0" borderId="5" xfId="16" applyNumberFormat="1" applyFont="1" applyBorder="1" applyAlignment="1">
      <alignment horizontal="right"/>
    </xf>
    <xf numFmtId="168" fontId="0" fillId="0" borderId="6" xfId="2" applyNumberFormat="1" applyFont="1" applyBorder="1" applyAlignment="1">
      <alignment horizontal="right"/>
    </xf>
    <xf numFmtId="166" fontId="0" fillId="0" borderId="6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14" fillId="5" borderId="10" xfId="4" applyFont="1" applyFill="1" applyBorder="1" applyAlignment="1">
      <alignment horizontal="left"/>
    </xf>
    <xf numFmtId="0" fontId="6" fillId="2" borderId="0" xfId="3" applyFont="1" applyFill="1" applyAlignment="1">
      <alignment horizontal="left"/>
    </xf>
    <xf numFmtId="0" fontId="10" fillId="3" borderId="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0" fillId="3" borderId="5" xfId="0" applyFont="1" applyFill="1" applyBorder="1" applyAlignment="1">
      <alignment horizontal="left"/>
    </xf>
    <xf numFmtId="165" fontId="10" fillId="3" borderId="5" xfId="16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5" borderId="5" xfId="4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7" xfId="4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4" applyFont="1" applyAlignment="1">
      <alignment horizontal="left"/>
    </xf>
    <xf numFmtId="0" fontId="2" fillId="2" borderId="0" xfId="0" applyFont="1" applyFill="1" applyAlignment="1">
      <alignment horizontal="left"/>
    </xf>
    <xf numFmtId="165" fontId="10" fillId="3" borderId="5" xfId="16" applyNumberFormat="1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5" fontId="2" fillId="2" borderId="0" xfId="16" applyNumberFormat="1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0" fillId="0" borderId="7" xfId="0" applyBorder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5" fontId="0" fillId="2" borderId="0" xfId="16" applyNumberFormat="1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166" fontId="0" fillId="2" borderId="0" xfId="0" applyNumberFormat="1" applyFill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8" xfId="4" applyFont="1" applyFill="1" applyBorder="1" applyAlignment="1">
      <alignment horizontal="left"/>
    </xf>
    <xf numFmtId="0" fontId="20" fillId="5" borderId="7" xfId="0" applyFont="1" applyFill="1" applyBorder="1" applyAlignment="1">
      <alignment horizontal="left"/>
    </xf>
    <xf numFmtId="0" fontId="20" fillId="5" borderId="7" xfId="4" applyFont="1" applyFill="1" applyBorder="1" applyAlignment="1">
      <alignment horizontal="left"/>
    </xf>
    <xf numFmtId="4" fontId="20" fillId="5" borderId="7" xfId="4" applyNumberFormat="1" applyFont="1" applyFill="1" applyBorder="1" applyAlignment="1">
      <alignment horizontal="left"/>
    </xf>
    <xf numFmtId="0" fontId="18" fillId="5" borderId="7" xfId="0" applyFont="1" applyFill="1" applyBorder="1" applyAlignment="1">
      <alignment horizontal="left"/>
    </xf>
    <xf numFmtId="0" fontId="18" fillId="5" borderId="7" xfId="4" applyFont="1" applyFill="1" applyBorder="1" applyAlignment="1">
      <alignment horizontal="left"/>
    </xf>
    <xf numFmtId="4" fontId="18" fillId="5" borderId="7" xfId="4" applyNumberFormat="1" applyFont="1" applyFill="1" applyBorder="1" applyAlignment="1">
      <alignment horizontal="left"/>
    </xf>
    <xf numFmtId="0" fontId="11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0" borderId="0" xfId="0" applyFont="1" applyAlignment="1">
      <alignment horizontal="right"/>
    </xf>
    <xf numFmtId="166" fontId="0" fillId="0" borderId="0" xfId="1" applyNumberFormat="1" applyFont="1" applyAlignment="1">
      <alignment horizontal="right"/>
    </xf>
    <xf numFmtId="0" fontId="9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1" fontId="10" fillId="3" borderId="5" xfId="0" applyNumberFormat="1" applyFont="1" applyFill="1" applyBorder="1" applyAlignment="1">
      <alignment horizontal="right" wrapText="1"/>
    </xf>
    <xf numFmtId="165" fontId="10" fillId="3" borderId="5" xfId="16" applyNumberFormat="1" applyFont="1" applyFill="1" applyBorder="1" applyAlignment="1">
      <alignment horizontal="right" wrapText="1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9" fontId="14" fillId="5" borderId="5" xfId="2" applyFont="1" applyFill="1" applyBorder="1" applyAlignment="1">
      <alignment horizontal="right"/>
    </xf>
    <xf numFmtId="166" fontId="5" fillId="2" borderId="5" xfId="1" applyNumberFormat="1" applyFont="1" applyFill="1" applyBorder="1" applyAlignment="1">
      <alignment horizontal="right"/>
    </xf>
    <xf numFmtId="166" fontId="14" fillId="5" borderId="5" xfId="1" applyNumberFormat="1" applyFont="1" applyFill="1" applyBorder="1" applyAlignment="1">
      <alignment horizontal="right"/>
    </xf>
    <xf numFmtId="9" fontId="14" fillId="5" borderId="5" xfId="6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165" fontId="14" fillId="5" borderId="5" xfId="5" applyNumberFormat="1" applyFont="1" applyFill="1" applyBorder="1" applyAlignment="1">
      <alignment horizontal="right"/>
    </xf>
    <xf numFmtId="166" fontId="9" fillId="0" borderId="0" xfId="0" applyNumberFormat="1" applyFont="1" applyAlignment="1">
      <alignment horizontal="right"/>
    </xf>
    <xf numFmtId="9" fontId="5" fillId="5" borderId="5" xfId="2" applyFont="1" applyFill="1" applyBorder="1" applyAlignment="1">
      <alignment horizontal="right"/>
    </xf>
    <xf numFmtId="1" fontId="14" fillId="5" borderId="5" xfId="4" applyNumberFormat="1" applyFont="1" applyFill="1" applyBorder="1" applyAlignment="1">
      <alignment horizontal="right"/>
    </xf>
    <xf numFmtId="166" fontId="5" fillId="5" borderId="5" xfId="1" applyNumberFormat="1" applyFont="1" applyFill="1" applyBorder="1" applyAlignment="1">
      <alignment horizontal="right"/>
    </xf>
    <xf numFmtId="168" fontId="5" fillId="5" borderId="5" xfId="2" applyNumberFormat="1" applyFont="1" applyFill="1" applyBorder="1" applyAlignment="1">
      <alignment horizontal="right"/>
    </xf>
    <xf numFmtId="0" fontId="3" fillId="5" borderId="7" xfId="4" applyFont="1" applyFill="1" applyBorder="1" applyAlignment="1">
      <alignment horizontal="right"/>
    </xf>
    <xf numFmtId="165" fontId="3" fillId="5" borderId="7" xfId="5" applyNumberFormat="1" applyFont="1" applyFill="1" applyBorder="1" applyAlignment="1">
      <alignment horizontal="right"/>
    </xf>
    <xf numFmtId="9" fontId="3" fillId="5" borderId="7" xfId="2" applyFont="1" applyFill="1" applyBorder="1" applyAlignment="1">
      <alignment horizontal="right"/>
    </xf>
    <xf numFmtId="167" fontId="3" fillId="5" borderId="7" xfId="4" applyNumberFormat="1" applyFont="1" applyFill="1" applyBorder="1" applyAlignment="1">
      <alignment horizontal="right"/>
    </xf>
    <xf numFmtId="166" fontId="3" fillId="5" borderId="7" xfId="1" applyNumberFormat="1" applyFont="1" applyFill="1" applyBorder="1" applyAlignment="1">
      <alignment horizontal="right"/>
    </xf>
    <xf numFmtId="9" fontId="3" fillId="5" borderId="7" xfId="6" applyFont="1" applyFill="1" applyBorder="1" applyAlignment="1">
      <alignment horizontal="right"/>
    </xf>
    <xf numFmtId="1" fontId="3" fillId="5" borderId="7" xfId="4" applyNumberFormat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2" borderId="0" xfId="1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8" fontId="2" fillId="0" borderId="0" xfId="2" applyNumberFormat="1" applyFont="1" applyBorder="1" applyAlignment="1">
      <alignment horizontal="right"/>
    </xf>
    <xf numFmtId="165" fontId="2" fillId="2" borderId="0" xfId="16" applyNumberFormat="1" applyFont="1" applyFill="1" applyBorder="1" applyAlignment="1">
      <alignment horizontal="right"/>
    </xf>
    <xf numFmtId="169" fontId="2" fillId="2" borderId="0" xfId="16" applyNumberFormat="1" applyFont="1" applyFill="1" applyBorder="1" applyAlignment="1">
      <alignment horizontal="right"/>
    </xf>
    <xf numFmtId="168" fontId="2" fillId="2" borderId="0" xfId="2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65" fontId="0" fillId="2" borderId="0" xfId="16" applyNumberFormat="1" applyFont="1" applyFill="1" applyAlignment="1">
      <alignment horizontal="right"/>
    </xf>
    <xf numFmtId="165" fontId="0" fillId="0" borderId="6" xfId="16" applyNumberFormat="1" applyFont="1" applyBorder="1" applyAlignment="1">
      <alignment horizontal="right"/>
    </xf>
    <xf numFmtId="0" fontId="0" fillId="0" borderId="7" xfId="0" applyBorder="1" applyAlignment="1">
      <alignment horizontal="right"/>
    </xf>
    <xf numFmtId="165" fontId="1" fillId="0" borderId="7" xfId="16" applyNumberFormat="1" applyFont="1" applyBorder="1" applyAlignment="1">
      <alignment horizontal="right"/>
    </xf>
    <xf numFmtId="168" fontId="1" fillId="0" borderId="7" xfId="2" applyNumberFormat="1" applyFont="1" applyBorder="1" applyAlignment="1">
      <alignment horizontal="right"/>
    </xf>
    <xf numFmtId="165" fontId="0" fillId="0" borderId="0" xfId="16" applyNumberFormat="1" applyFont="1" applyAlignment="1">
      <alignment horizontal="right"/>
    </xf>
    <xf numFmtId="9" fontId="0" fillId="0" borderId="6" xfId="2" applyFont="1" applyBorder="1" applyAlignment="1">
      <alignment horizontal="right"/>
    </xf>
    <xf numFmtId="9" fontId="1" fillId="0" borderId="7" xfId="2" applyFont="1" applyBorder="1" applyAlignment="1">
      <alignment horizontal="right"/>
    </xf>
    <xf numFmtId="165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13" fillId="2" borderId="0" xfId="0" applyFont="1" applyFill="1" applyAlignment="1">
      <alignment horizontal="right" vertical="center"/>
    </xf>
    <xf numFmtId="165" fontId="9" fillId="2" borderId="5" xfId="16" applyNumberFormat="1" applyFont="1" applyFill="1" applyBorder="1" applyAlignment="1">
      <alignment horizontal="right"/>
    </xf>
    <xf numFmtId="165" fontId="0" fillId="2" borderId="5" xfId="16" applyNumberFormat="1" applyFont="1" applyFill="1" applyBorder="1" applyAlignment="1">
      <alignment horizontal="right"/>
    </xf>
    <xf numFmtId="165" fontId="9" fillId="2" borderId="8" xfId="16" applyNumberFormat="1" applyFont="1" applyFill="1" applyBorder="1" applyAlignment="1">
      <alignment horizontal="right"/>
    </xf>
    <xf numFmtId="165" fontId="2" fillId="2" borderId="7" xfId="16" applyNumberFormat="1" applyFont="1" applyFill="1" applyBorder="1" applyAlignment="1">
      <alignment horizontal="right"/>
    </xf>
    <xf numFmtId="166" fontId="2" fillId="2" borderId="7" xfId="1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9" fontId="9" fillId="2" borderId="5" xfId="16" applyNumberFormat="1" applyFont="1" applyFill="1" applyBorder="1" applyAlignment="1">
      <alignment horizontal="right"/>
    </xf>
    <xf numFmtId="169" fontId="0" fillId="2" borderId="5" xfId="16" applyNumberFormat="1" applyFont="1" applyFill="1" applyBorder="1" applyAlignment="1">
      <alignment horizontal="right"/>
    </xf>
    <xf numFmtId="168" fontId="0" fillId="2" borderId="5" xfId="2" applyNumberFormat="1" applyFont="1" applyFill="1" applyBorder="1" applyAlignment="1">
      <alignment horizontal="right"/>
    </xf>
    <xf numFmtId="166" fontId="0" fillId="2" borderId="5" xfId="1" applyNumberFormat="1" applyFont="1" applyFill="1" applyBorder="1" applyAlignment="1">
      <alignment horizontal="right"/>
    </xf>
    <xf numFmtId="168" fontId="0" fillId="2" borderId="6" xfId="2" applyNumberFormat="1" applyFont="1" applyFill="1" applyBorder="1" applyAlignment="1">
      <alignment horizontal="right"/>
    </xf>
    <xf numFmtId="166" fontId="0" fillId="2" borderId="6" xfId="1" applyNumberFormat="1" applyFont="1" applyFill="1" applyBorder="1" applyAlignment="1">
      <alignment horizontal="right"/>
    </xf>
    <xf numFmtId="165" fontId="0" fillId="2" borderId="8" xfId="16" applyNumberFormat="1" applyFont="1" applyFill="1" applyBorder="1" applyAlignment="1">
      <alignment horizontal="right"/>
    </xf>
    <xf numFmtId="169" fontId="9" fillId="2" borderId="8" xfId="16" applyNumberFormat="1" applyFont="1" applyFill="1" applyBorder="1" applyAlignment="1">
      <alignment horizontal="right"/>
    </xf>
    <xf numFmtId="169" fontId="0" fillId="2" borderId="8" xfId="16" applyNumberFormat="1" applyFont="1" applyFill="1" applyBorder="1" applyAlignment="1">
      <alignment horizontal="right"/>
    </xf>
    <xf numFmtId="168" fontId="0" fillId="2" borderId="8" xfId="2" applyNumberFormat="1" applyFont="1" applyFill="1" applyBorder="1" applyAlignment="1">
      <alignment horizontal="right"/>
    </xf>
    <xf numFmtId="166" fontId="0" fillId="2" borderId="8" xfId="1" applyNumberFormat="1" applyFont="1" applyFill="1" applyBorder="1" applyAlignment="1">
      <alignment horizontal="right"/>
    </xf>
    <xf numFmtId="165" fontId="0" fillId="2" borderId="0" xfId="16" applyNumberFormat="1" applyFont="1" applyFill="1" applyBorder="1" applyAlignment="1">
      <alignment horizontal="right"/>
    </xf>
    <xf numFmtId="169" fontId="9" fillId="2" borderId="0" xfId="16" applyNumberFormat="1" applyFont="1" applyFill="1" applyBorder="1" applyAlignment="1">
      <alignment horizontal="right"/>
    </xf>
    <xf numFmtId="169" fontId="0" fillId="2" borderId="0" xfId="16" applyNumberFormat="1" applyFont="1" applyFill="1" applyBorder="1" applyAlignment="1">
      <alignment horizontal="right"/>
    </xf>
    <xf numFmtId="168" fontId="0" fillId="2" borderId="0" xfId="2" applyNumberFormat="1" applyFont="1" applyFill="1" applyBorder="1" applyAlignment="1">
      <alignment horizontal="right"/>
    </xf>
    <xf numFmtId="166" fontId="0" fillId="2" borderId="0" xfId="1" applyNumberFormat="1" applyFont="1" applyFill="1" applyBorder="1" applyAlignment="1">
      <alignment horizontal="right"/>
    </xf>
    <xf numFmtId="168" fontId="2" fillId="2" borderId="7" xfId="2" applyNumberFormat="1" applyFont="1" applyFill="1" applyBorder="1" applyAlignment="1">
      <alignment horizontal="right"/>
    </xf>
    <xf numFmtId="166" fontId="2" fillId="2" borderId="7" xfId="0" applyNumberFormat="1" applyFont="1" applyFill="1" applyBorder="1" applyAlignment="1">
      <alignment horizontal="right"/>
    </xf>
    <xf numFmtId="165" fontId="0" fillId="2" borderId="6" xfId="16" applyNumberFormat="1" applyFont="1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43" fontId="0" fillId="2" borderId="0" xfId="16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166" fontId="0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6" fontId="2" fillId="0" borderId="6" xfId="1" applyNumberFormat="1" applyFont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165" fontId="2" fillId="0" borderId="4" xfId="16" applyNumberFormat="1" applyFont="1" applyBorder="1" applyAlignment="1">
      <alignment horizontal="right"/>
    </xf>
    <xf numFmtId="9" fontId="2" fillId="0" borderId="4" xfId="2" applyFont="1" applyBorder="1" applyAlignment="1">
      <alignment horizontal="right"/>
    </xf>
    <xf numFmtId="166" fontId="2" fillId="0" borderId="3" xfId="1" applyNumberFormat="1" applyFont="1" applyBorder="1" applyAlignment="1">
      <alignment horizontal="right"/>
    </xf>
    <xf numFmtId="165" fontId="2" fillId="0" borderId="3" xfId="16" applyNumberFormat="1" applyFont="1" applyBorder="1" applyAlignment="1">
      <alignment horizontal="right"/>
    </xf>
    <xf numFmtId="9" fontId="2" fillId="0" borderId="3" xfId="2" applyFont="1" applyBorder="1" applyAlignment="1">
      <alignment horizontal="right"/>
    </xf>
    <xf numFmtId="9" fontId="0" fillId="0" borderId="5" xfId="2" applyFont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5" fontId="0" fillId="0" borderId="0" xfId="16" applyNumberFormat="1" applyFont="1" applyBorder="1" applyAlignment="1">
      <alignment horizontal="right"/>
    </xf>
    <xf numFmtId="165" fontId="0" fillId="0" borderId="2" xfId="16" applyNumberFormat="1" applyFont="1" applyBorder="1" applyAlignment="1">
      <alignment horizontal="right"/>
    </xf>
    <xf numFmtId="165" fontId="2" fillId="0" borderId="1" xfId="16" applyNumberFormat="1" applyFont="1" applyBorder="1" applyAlignment="1">
      <alignment horizontal="right"/>
    </xf>
    <xf numFmtId="9" fontId="0" fillId="0" borderId="0" xfId="2" applyFont="1" applyAlignment="1">
      <alignment horizontal="right"/>
    </xf>
    <xf numFmtId="166" fontId="0" fillId="0" borderId="5" xfId="1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16" fillId="0" borderId="5" xfId="1" applyNumberFormat="1" applyFont="1" applyBorder="1" applyAlignment="1">
      <alignment horizontal="right"/>
    </xf>
    <xf numFmtId="166" fontId="17" fillId="0" borderId="5" xfId="1" applyNumberFormat="1" applyFont="1" applyBorder="1" applyAlignment="1">
      <alignment horizontal="right"/>
    </xf>
    <xf numFmtId="166" fontId="1" fillId="0" borderId="0" xfId="1" applyNumberFormat="1" applyFont="1" applyAlignment="1">
      <alignment horizontal="right"/>
    </xf>
    <xf numFmtId="0" fontId="0" fillId="0" borderId="0" xfId="0" applyAlignment="1">
      <alignment horizontal="right" vertical="top"/>
    </xf>
    <xf numFmtId="166" fontId="19" fillId="5" borderId="5" xfId="1" applyNumberFormat="1" applyFont="1" applyFill="1" applyBorder="1" applyAlignment="1">
      <alignment horizontal="right"/>
    </xf>
    <xf numFmtId="0" fontId="5" fillId="5" borderId="8" xfId="4" applyFont="1" applyFill="1" applyBorder="1" applyAlignment="1">
      <alignment horizontal="right"/>
    </xf>
    <xf numFmtId="166" fontId="5" fillId="5" borderId="8" xfId="1" applyNumberFormat="1" applyFont="1" applyFill="1" applyBorder="1" applyAlignment="1">
      <alignment horizontal="right"/>
    </xf>
    <xf numFmtId="166" fontId="19" fillId="5" borderId="8" xfId="1" applyNumberFormat="1" applyFont="1" applyFill="1" applyBorder="1" applyAlignment="1">
      <alignment horizontal="right"/>
    </xf>
    <xf numFmtId="168" fontId="0" fillId="0" borderId="0" xfId="2" applyNumberFormat="1" applyFont="1" applyAlignment="1">
      <alignment horizontal="right"/>
    </xf>
    <xf numFmtId="168" fontId="9" fillId="0" borderId="0" xfId="2" applyNumberFormat="1" applyFont="1" applyAlignment="1">
      <alignment horizontal="right"/>
    </xf>
    <xf numFmtId="166" fontId="10" fillId="3" borderId="5" xfId="1" applyNumberFormat="1" applyFont="1" applyFill="1" applyBorder="1" applyAlignment="1">
      <alignment horizontal="right" wrapText="1"/>
    </xf>
    <xf numFmtId="168" fontId="10" fillId="3" borderId="5" xfId="2" applyNumberFormat="1" applyFont="1" applyFill="1" applyBorder="1" applyAlignment="1">
      <alignment horizontal="right" wrapText="1"/>
    </xf>
    <xf numFmtId="168" fontId="14" fillId="5" borderId="5" xfId="2" applyNumberFormat="1" applyFont="1" applyFill="1" applyBorder="1" applyAlignment="1">
      <alignment horizontal="right"/>
    </xf>
    <xf numFmtId="0" fontId="20" fillId="5" borderId="7" xfId="4" applyFont="1" applyFill="1" applyBorder="1" applyAlignment="1">
      <alignment horizontal="right"/>
    </xf>
    <xf numFmtId="170" fontId="20" fillId="5" borderId="7" xfId="16" applyNumberFormat="1" applyFont="1" applyFill="1" applyBorder="1" applyAlignment="1">
      <alignment horizontal="right"/>
    </xf>
    <xf numFmtId="9" fontId="20" fillId="5" borderId="7" xfId="2" applyFont="1" applyFill="1" applyBorder="1" applyAlignment="1">
      <alignment horizontal="right"/>
    </xf>
    <xf numFmtId="165" fontId="20" fillId="5" borderId="7" xfId="5" applyNumberFormat="1" applyFont="1" applyFill="1" applyBorder="1" applyAlignment="1">
      <alignment horizontal="right"/>
    </xf>
    <xf numFmtId="166" fontId="20" fillId="5" borderId="7" xfId="1" applyNumberFormat="1" applyFont="1" applyFill="1" applyBorder="1" applyAlignment="1">
      <alignment horizontal="right"/>
    </xf>
    <xf numFmtId="168" fontId="20" fillId="5" borderId="7" xfId="2" applyNumberFormat="1" applyFont="1" applyFill="1" applyBorder="1" applyAlignment="1">
      <alignment horizontal="right"/>
    </xf>
    <xf numFmtId="166" fontId="19" fillId="5" borderId="7" xfId="1" applyNumberFormat="1" applyFont="1" applyFill="1" applyBorder="1" applyAlignment="1">
      <alignment horizontal="right"/>
    </xf>
    <xf numFmtId="9" fontId="19" fillId="5" borderId="7" xfId="2" applyFont="1" applyFill="1" applyBorder="1" applyAlignment="1">
      <alignment horizontal="right"/>
    </xf>
    <xf numFmtId="165" fontId="19" fillId="5" borderId="7" xfId="5" applyNumberFormat="1" applyFont="1" applyFill="1" applyBorder="1" applyAlignment="1">
      <alignment horizontal="right"/>
    </xf>
    <xf numFmtId="0" fontId="18" fillId="5" borderId="7" xfId="4" applyFont="1" applyFill="1" applyBorder="1" applyAlignment="1">
      <alignment horizontal="right"/>
    </xf>
    <xf numFmtId="170" fontId="18" fillId="5" borderId="7" xfId="16" applyNumberFormat="1" applyFont="1" applyFill="1" applyBorder="1" applyAlignment="1">
      <alignment horizontal="right"/>
    </xf>
    <xf numFmtId="9" fontId="18" fillId="5" borderId="7" xfId="2" applyFont="1" applyFill="1" applyBorder="1" applyAlignment="1">
      <alignment horizontal="right"/>
    </xf>
    <xf numFmtId="165" fontId="18" fillId="5" borderId="7" xfId="5" applyNumberFormat="1" applyFont="1" applyFill="1" applyBorder="1" applyAlignment="1">
      <alignment horizontal="right"/>
    </xf>
    <xf numFmtId="166" fontId="18" fillId="5" borderId="7" xfId="1" applyNumberFormat="1" applyFont="1" applyFill="1" applyBorder="1" applyAlignment="1">
      <alignment horizontal="right"/>
    </xf>
    <xf numFmtId="168" fontId="18" fillId="5" borderId="7" xfId="2" applyNumberFormat="1" applyFont="1" applyFill="1" applyBorder="1" applyAlignment="1">
      <alignment horizontal="right"/>
    </xf>
    <xf numFmtId="166" fontId="9" fillId="0" borderId="0" xfId="1" applyNumberFormat="1" applyFont="1" applyAlignment="1">
      <alignment horizontal="right"/>
    </xf>
    <xf numFmtId="0" fontId="5" fillId="5" borderId="8" xfId="0" applyFont="1" applyFill="1" applyBorder="1"/>
    <xf numFmtId="166" fontId="3" fillId="5" borderId="7" xfId="1" applyNumberFormat="1" applyFont="1" applyFill="1" applyBorder="1" applyAlignment="1"/>
    <xf numFmtId="166" fontId="9" fillId="2" borderId="5" xfId="1" applyNumberFormat="1" applyFont="1" applyFill="1" applyBorder="1" applyAlignment="1">
      <alignment horizontal="right"/>
    </xf>
    <xf numFmtId="170" fontId="0" fillId="0" borderId="0" xfId="16" applyNumberFormat="1" applyFont="1" applyAlignment="1">
      <alignment horizontal="right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5" xfId="4" applyFont="1" applyFill="1" applyBorder="1" applyAlignment="1" applyProtection="1">
      <alignment horizontal="left"/>
      <protection locked="0"/>
    </xf>
    <xf numFmtId="165" fontId="5" fillId="2" borderId="5" xfId="5" applyNumberFormat="1" applyFont="1" applyFill="1" applyBorder="1" applyAlignment="1" applyProtection="1">
      <alignment horizontal="right"/>
      <protection locked="0"/>
    </xf>
    <xf numFmtId="171" fontId="0" fillId="0" borderId="0" xfId="1" applyNumberFormat="1" applyFont="1" applyAlignment="1">
      <alignment horizontal="right"/>
    </xf>
    <xf numFmtId="170" fontId="1" fillId="0" borderId="7" xfId="16" applyNumberFormat="1" applyFont="1" applyBorder="1" applyAlignment="1">
      <alignment horizontal="right"/>
    </xf>
    <xf numFmtId="170" fontId="0" fillId="0" borderId="5" xfId="16" applyNumberFormat="1" applyFont="1" applyBorder="1" applyAlignment="1">
      <alignment horizontal="right"/>
    </xf>
    <xf numFmtId="170" fontId="2" fillId="0" borderId="4" xfId="16" applyNumberFormat="1" applyFont="1" applyBorder="1" applyAlignment="1">
      <alignment horizontal="right"/>
    </xf>
    <xf numFmtId="170" fontId="2" fillId="0" borderId="3" xfId="16" applyNumberFormat="1" applyFont="1" applyBorder="1" applyAlignment="1">
      <alignment horizontal="right"/>
    </xf>
    <xf numFmtId="0" fontId="10" fillId="2" borderId="0" xfId="0" applyFont="1" applyFill="1" applyAlignment="1">
      <alignment horizontal="right"/>
    </xf>
    <xf numFmtId="9" fontId="1" fillId="2" borderId="0" xfId="2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9" fontId="0" fillId="2" borderId="0" xfId="2" applyFont="1" applyFill="1" applyBorder="1" applyAlignment="1">
      <alignment horizontal="right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4" applyFont="1" applyBorder="1" applyAlignment="1" applyProtection="1">
      <alignment horizontal="right"/>
      <protection locked="0"/>
    </xf>
    <xf numFmtId="0" fontId="5" fillId="0" borderId="5" xfId="4" applyFont="1" applyBorder="1" applyAlignment="1" applyProtection="1">
      <alignment horizontal="left"/>
      <protection locked="0"/>
    </xf>
    <xf numFmtId="166" fontId="5" fillId="0" borderId="5" xfId="1" applyNumberFormat="1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172" fontId="0" fillId="0" borderId="0" xfId="0" applyNumberFormat="1" applyAlignment="1">
      <alignment horizontal="right"/>
    </xf>
    <xf numFmtId="10" fontId="0" fillId="0" borderId="0" xfId="2" applyNumberFormat="1" applyFont="1" applyAlignment="1">
      <alignment horizontal="right"/>
    </xf>
    <xf numFmtId="168" fontId="1" fillId="0" borderId="0" xfId="2" applyNumberFormat="1" applyFont="1" applyBorder="1" applyAlignment="1">
      <alignment horizontal="right"/>
    </xf>
    <xf numFmtId="168" fontId="0" fillId="0" borderId="5" xfId="2" applyNumberFormat="1" applyFont="1" applyFill="1" applyBorder="1" applyAlignment="1">
      <alignment horizontal="right"/>
    </xf>
    <xf numFmtId="168" fontId="0" fillId="0" borderId="6" xfId="2" applyNumberFormat="1" applyFont="1" applyFill="1" applyBorder="1" applyAlignment="1">
      <alignment horizontal="right"/>
    </xf>
    <xf numFmtId="168" fontId="1" fillId="0" borderId="7" xfId="2" applyNumberFormat="1" applyFont="1" applyFill="1" applyBorder="1" applyAlignment="1">
      <alignment horizontal="right"/>
    </xf>
    <xf numFmtId="0" fontId="13" fillId="0" borderId="0" xfId="0" applyFont="1" applyAlignment="1">
      <alignment horizontal="center" vertical="center"/>
    </xf>
    <xf numFmtId="9" fontId="1" fillId="0" borderId="0" xfId="2" applyFont="1" applyBorder="1" applyAlignment="1">
      <alignment horizontal="right"/>
    </xf>
    <xf numFmtId="4" fontId="0" fillId="0" borderId="0" xfId="0" applyNumberFormat="1" applyAlignment="1">
      <alignment horizontal="right"/>
    </xf>
    <xf numFmtId="166" fontId="5" fillId="2" borderId="5" xfId="1" applyNumberFormat="1" applyFont="1" applyFill="1" applyBorder="1" applyAlignment="1" applyProtection="1">
      <alignment horizontal="right"/>
      <protection locked="0"/>
    </xf>
    <xf numFmtId="168" fontId="5" fillId="2" borderId="5" xfId="2" applyNumberFormat="1" applyFont="1" applyFill="1" applyBorder="1" applyAlignment="1" applyProtection="1">
      <alignment horizontal="right"/>
      <protection locked="0"/>
    </xf>
    <xf numFmtId="165" fontId="14" fillId="0" borderId="5" xfId="5" applyNumberFormat="1" applyFont="1" applyFill="1" applyBorder="1" applyAlignment="1" applyProtection="1">
      <alignment horizontal="right"/>
      <protection locked="0"/>
    </xf>
    <xf numFmtId="170" fontId="5" fillId="2" borderId="5" xfId="16" applyNumberFormat="1" applyFont="1" applyFill="1" applyBorder="1" applyAlignment="1" applyProtection="1">
      <alignment horizontal="right"/>
      <protection locked="0"/>
    </xf>
    <xf numFmtId="4" fontId="5" fillId="2" borderId="5" xfId="4" applyNumberFormat="1" applyFont="1" applyFill="1" applyBorder="1" applyAlignment="1" applyProtection="1">
      <alignment horizontal="left"/>
      <protection locked="0"/>
    </xf>
    <xf numFmtId="166" fontId="5" fillId="0" borderId="5" xfId="1" applyNumberFormat="1" applyFont="1" applyFill="1" applyBorder="1" applyAlignment="1" applyProtection="1">
      <alignment horizontal="right"/>
      <protection locked="0"/>
    </xf>
    <xf numFmtId="165" fontId="0" fillId="0" borderId="0" xfId="18" applyNumberFormat="1" applyFont="1" applyAlignment="1">
      <alignment horizontal="right"/>
    </xf>
    <xf numFmtId="166" fontId="1" fillId="0" borderId="7" xfId="7" applyNumberFormat="1" applyFont="1" applyBorder="1" applyAlignment="1">
      <alignment horizontal="right"/>
    </xf>
    <xf numFmtId="171" fontId="1" fillId="0" borderId="7" xfId="7" applyNumberFormat="1" applyFont="1" applyBorder="1" applyAlignment="1">
      <alignment horizontal="right"/>
    </xf>
    <xf numFmtId="165" fontId="1" fillId="0" borderId="7" xfId="18" applyNumberFormat="1" applyFont="1" applyBorder="1" applyAlignment="1">
      <alignment horizontal="right"/>
    </xf>
    <xf numFmtId="169" fontId="1" fillId="0" borderId="7" xfId="18" applyNumberFormat="1" applyFont="1" applyBorder="1" applyAlignment="1">
      <alignment horizontal="right"/>
    </xf>
    <xf numFmtId="165" fontId="0" fillId="0" borderId="7" xfId="18" applyNumberFormat="1" applyFont="1" applyBorder="1" applyAlignment="1">
      <alignment horizontal="right"/>
    </xf>
    <xf numFmtId="166" fontId="0" fillId="0" borderId="6" xfId="7" applyNumberFormat="1" applyFont="1" applyBorder="1" applyAlignment="1">
      <alignment horizontal="right"/>
    </xf>
    <xf numFmtId="171" fontId="0" fillId="0" borderId="6" xfId="7" applyNumberFormat="1" applyFont="1" applyBorder="1" applyAlignment="1">
      <alignment horizontal="right"/>
    </xf>
    <xf numFmtId="165" fontId="0" fillId="0" borderId="6" xfId="18" applyNumberFormat="1" applyFont="1" applyBorder="1" applyAlignment="1">
      <alignment horizontal="right"/>
    </xf>
    <xf numFmtId="169" fontId="0" fillId="0" borderId="6" xfId="18" applyNumberFormat="1" applyFont="1" applyBorder="1" applyAlignment="1">
      <alignment horizontal="right"/>
    </xf>
    <xf numFmtId="165" fontId="10" fillId="3" borderId="5" xfId="18" applyNumberFormat="1" applyFont="1" applyFill="1" applyBorder="1" applyAlignment="1">
      <alignment horizontal="right"/>
    </xf>
    <xf numFmtId="165" fontId="10" fillId="3" borderId="0" xfId="18" applyNumberFormat="1" applyFont="1" applyFill="1" applyAlignment="1">
      <alignment horizontal="right"/>
    </xf>
    <xf numFmtId="166" fontId="0" fillId="0" borderId="0" xfId="7" applyNumberFormat="1" applyFont="1" applyAlignment="1">
      <alignment horizontal="right"/>
    </xf>
    <xf numFmtId="43" fontId="0" fillId="0" borderId="0" xfId="18" applyFont="1" applyAlignment="1">
      <alignment horizontal="right"/>
    </xf>
    <xf numFmtId="166" fontId="1" fillId="0" borderId="0" xfId="7" applyNumberFormat="1" applyFont="1" applyBorder="1" applyAlignment="1">
      <alignment horizontal="right"/>
    </xf>
    <xf numFmtId="165" fontId="1" fillId="0" borderId="0" xfId="18" applyNumberFormat="1" applyFont="1" applyBorder="1" applyAlignment="1">
      <alignment horizontal="right"/>
    </xf>
    <xf numFmtId="169" fontId="1" fillId="0" borderId="0" xfId="18" applyNumberFormat="1" applyFont="1" applyBorder="1" applyAlignment="1">
      <alignment horizontal="right"/>
    </xf>
    <xf numFmtId="165" fontId="0" fillId="0" borderId="0" xfId="18" applyNumberFormat="1" applyFont="1" applyBorder="1" applyAlignment="1">
      <alignment horizontal="right"/>
    </xf>
    <xf numFmtId="166" fontId="0" fillId="0" borderId="0" xfId="7" applyNumberFormat="1" applyFont="1" applyBorder="1" applyAlignment="1">
      <alignment horizontal="right"/>
    </xf>
    <xf numFmtId="166" fontId="1" fillId="0" borderId="7" xfId="7" applyNumberFormat="1" applyFont="1" applyFill="1" applyBorder="1" applyAlignment="1">
      <alignment horizontal="right"/>
    </xf>
    <xf numFmtId="170" fontId="1" fillId="0" borderId="7" xfId="18" applyNumberFormat="1" applyFont="1" applyFill="1" applyBorder="1" applyAlignment="1">
      <alignment horizontal="right"/>
    </xf>
    <xf numFmtId="166" fontId="0" fillId="0" borderId="5" xfId="7" applyNumberFormat="1" applyFont="1" applyFill="1" applyBorder="1" applyAlignment="1">
      <alignment horizontal="right"/>
    </xf>
    <xf numFmtId="165" fontId="0" fillId="0" borderId="6" xfId="18" applyNumberFormat="1" applyFont="1" applyFill="1" applyBorder="1" applyAlignment="1">
      <alignment horizontal="right"/>
    </xf>
    <xf numFmtId="166" fontId="0" fillId="0" borderId="5" xfId="7" applyNumberFormat="1" applyFont="1" applyBorder="1" applyAlignment="1">
      <alignment horizontal="right"/>
    </xf>
    <xf numFmtId="165" fontId="0" fillId="0" borderId="5" xfId="18" applyNumberFormat="1" applyFont="1" applyFill="1" applyBorder="1" applyAlignment="1">
      <alignment horizontal="right"/>
    </xf>
    <xf numFmtId="165" fontId="0" fillId="0" borderId="5" xfId="18" applyNumberFormat="1" applyFont="1" applyBorder="1" applyAlignment="1">
      <alignment horizontal="right"/>
    </xf>
    <xf numFmtId="166" fontId="0" fillId="0" borderId="6" xfId="7" applyNumberFormat="1" applyFont="1" applyFill="1" applyBorder="1" applyAlignment="1">
      <alignment horizontal="right"/>
    </xf>
    <xf numFmtId="165" fontId="0" fillId="2" borderId="0" xfId="18" applyNumberFormat="1" applyFont="1" applyFill="1" applyAlignment="1">
      <alignment horizontal="right"/>
    </xf>
    <xf numFmtId="169" fontId="0" fillId="0" borderId="5" xfId="18" applyNumberFormat="1" applyFont="1" applyBorder="1" applyAlignment="1">
      <alignment horizontal="right"/>
    </xf>
    <xf numFmtId="169" fontId="9" fillId="0" borderId="5" xfId="18" applyNumberFormat="1" applyFont="1" applyBorder="1" applyAlignment="1">
      <alignment horizontal="right"/>
    </xf>
    <xf numFmtId="165" fontId="10" fillId="3" borderId="5" xfId="18" applyNumberFormat="1" applyFont="1" applyFill="1" applyBorder="1" applyAlignment="1">
      <alignment horizontal="left"/>
    </xf>
    <xf numFmtId="166" fontId="2" fillId="0" borderId="0" xfId="7" applyNumberFormat="1" applyFont="1" applyBorder="1" applyAlignment="1">
      <alignment horizontal="right"/>
    </xf>
    <xf numFmtId="169" fontId="2" fillId="0" borderId="0" xfId="18" applyNumberFormat="1" applyFont="1" applyBorder="1" applyAlignment="1">
      <alignment horizontal="right"/>
    </xf>
    <xf numFmtId="166" fontId="2" fillId="2" borderId="0" xfId="7" applyNumberFormat="1" applyFont="1" applyFill="1" applyBorder="1" applyAlignment="1">
      <alignment horizontal="right"/>
    </xf>
    <xf numFmtId="169" fontId="2" fillId="2" borderId="0" xfId="18" applyNumberFormat="1" applyFont="1" applyFill="1" applyBorder="1" applyAlignment="1">
      <alignment horizontal="right"/>
    </xf>
    <xf numFmtId="169" fontId="12" fillId="2" borderId="0" xfId="18" applyNumberFormat="1" applyFont="1" applyFill="1" applyBorder="1" applyAlignment="1">
      <alignment horizontal="right"/>
    </xf>
    <xf numFmtId="165" fontId="2" fillId="2" borderId="0" xfId="18" applyNumberFormat="1" applyFont="1" applyFill="1" applyBorder="1" applyAlignment="1">
      <alignment horizontal="right"/>
    </xf>
    <xf numFmtId="165" fontId="9" fillId="0" borderId="5" xfId="18" applyNumberFormat="1" applyFont="1" applyBorder="1" applyAlignment="1">
      <alignment horizontal="right"/>
    </xf>
    <xf numFmtId="166" fontId="0" fillId="2" borderId="0" xfId="7" applyNumberFormat="1" applyFont="1" applyFill="1" applyAlignment="1">
      <alignment horizontal="right"/>
    </xf>
    <xf numFmtId="173" fontId="0" fillId="0" borderId="6" xfId="19" applyNumberFormat="1" applyFont="1" applyBorder="1" applyAlignment="1">
      <alignment horizontal="right"/>
    </xf>
    <xf numFmtId="168" fontId="0" fillId="0" borderId="8" xfId="2" applyNumberFormat="1" applyFont="1" applyBorder="1" applyAlignment="1">
      <alignment horizontal="right"/>
    </xf>
    <xf numFmtId="166" fontId="0" fillId="0" borderId="8" xfId="7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169" fontId="9" fillId="0" borderId="7" xfId="18" applyNumberFormat="1" applyFont="1" applyBorder="1" applyAlignment="1">
      <alignment horizontal="right"/>
    </xf>
    <xf numFmtId="169" fontId="0" fillId="0" borderId="7" xfId="18" applyNumberFormat="1" applyFont="1" applyBorder="1" applyAlignment="1">
      <alignment horizontal="right"/>
    </xf>
    <xf numFmtId="166" fontId="0" fillId="0" borderId="7" xfId="7" applyNumberFormat="1" applyFont="1" applyBorder="1" applyAlignment="1">
      <alignment horizontal="right"/>
    </xf>
    <xf numFmtId="168" fontId="0" fillId="0" borderId="7" xfId="2" applyNumberFormat="1" applyFont="1" applyBorder="1" applyAlignment="1">
      <alignment horizontal="right"/>
    </xf>
    <xf numFmtId="166" fontId="0" fillId="0" borderId="7" xfId="7" applyNumberFormat="1" applyFont="1" applyFill="1" applyBorder="1" applyAlignment="1">
      <alignment horizontal="right"/>
    </xf>
    <xf numFmtId="168" fontId="0" fillId="0" borderId="7" xfId="2" applyNumberFormat="1" applyFont="1" applyFill="1" applyBorder="1" applyAlignment="1">
      <alignment horizontal="right"/>
    </xf>
    <xf numFmtId="168" fontId="1" fillId="0" borderId="8" xfId="2" applyNumberFormat="1" applyFont="1" applyBorder="1" applyAlignment="1">
      <alignment horizontal="right"/>
    </xf>
    <xf numFmtId="173" fontId="0" fillId="0" borderId="8" xfId="19" applyNumberFormat="1" applyFont="1" applyBorder="1" applyAlignment="1">
      <alignment horizontal="right"/>
    </xf>
    <xf numFmtId="0" fontId="2" fillId="0" borderId="0" xfId="0" applyFont="1"/>
    <xf numFmtId="0" fontId="0" fillId="2" borderId="0" xfId="0" applyFill="1"/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5" fontId="10" fillId="2" borderId="0" xfId="16" applyNumberFormat="1" applyFont="1" applyFill="1" applyBorder="1" applyAlignment="1">
      <alignment horizontal="right"/>
    </xf>
    <xf numFmtId="170" fontId="0" fillId="6" borderId="0" xfId="16" applyNumberFormat="1" applyFont="1" applyFill="1" applyBorder="1" applyAlignment="1">
      <alignment horizontal="right"/>
    </xf>
    <xf numFmtId="170" fontId="0" fillId="0" borderId="0" xfId="16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Protection="1">
      <protection locked="0"/>
    </xf>
    <xf numFmtId="17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165" fontId="5" fillId="0" borderId="5" xfId="5" applyNumberFormat="1" applyFont="1" applyFill="1" applyBorder="1" applyAlignment="1" applyProtection="1">
      <alignment horizontal="right"/>
      <protection locked="0"/>
    </xf>
    <xf numFmtId="170" fontId="5" fillId="5" borderId="5" xfId="16" applyNumberFormat="1" applyFont="1" applyFill="1" applyBorder="1" applyAlignment="1">
      <alignment horizontal="right"/>
    </xf>
    <xf numFmtId="170" fontId="3" fillId="5" borderId="7" xfId="16" applyNumberFormat="1" applyFont="1" applyFill="1" applyBorder="1" applyAlignment="1">
      <alignment horizontal="right"/>
    </xf>
    <xf numFmtId="170" fontId="5" fillId="5" borderId="5" xfId="4" applyNumberFormat="1" applyFont="1" applyFill="1" applyBorder="1" applyAlignment="1">
      <alignment horizontal="right"/>
    </xf>
    <xf numFmtId="170" fontId="3" fillId="5" borderId="7" xfId="4" applyNumberFormat="1" applyFont="1" applyFill="1" applyBorder="1" applyAlignment="1">
      <alignment horizontal="right"/>
    </xf>
    <xf numFmtId="170" fontId="5" fillId="5" borderId="5" xfId="5" applyNumberFormat="1" applyFont="1" applyFill="1" applyBorder="1" applyAlignment="1">
      <alignment horizontal="right"/>
    </xf>
    <xf numFmtId="170" fontId="3" fillId="5" borderId="7" xfId="5" applyNumberFormat="1" applyFont="1" applyFill="1" applyBorder="1" applyAlignment="1">
      <alignment horizontal="right"/>
    </xf>
    <xf numFmtId="168" fontId="0" fillId="0" borderId="6" xfId="19" applyNumberFormat="1" applyFont="1" applyBorder="1" applyAlignment="1">
      <alignment horizontal="right"/>
    </xf>
    <xf numFmtId="168" fontId="0" fillId="0" borderId="8" xfId="19" applyNumberFormat="1" applyFont="1" applyBorder="1" applyAlignment="1">
      <alignment horizontal="right"/>
    </xf>
    <xf numFmtId="0" fontId="0" fillId="7" borderId="0" xfId="0" applyFill="1"/>
    <xf numFmtId="9" fontId="14" fillId="5" borderId="5" xfId="2" applyFont="1" applyFill="1" applyBorder="1" applyAlignment="1"/>
    <xf numFmtId="0" fontId="0" fillId="4" borderId="0" xfId="0" applyFill="1"/>
    <xf numFmtId="166" fontId="0" fillId="0" borderId="0" xfId="1" applyNumberFormat="1" applyFont="1" applyFill="1" applyBorder="1" applyAlignment="1">
      <alignment horizontal="right"/>
    </xf>
    <xf numFmtId="170" fontId="0" fillId="0" borderId="0" xfId="16" applyNumberFormat="1" applyFont="1" applyFill="1" applyBorder="1" applyAlignment="1">
      <alignment horizontal="right"/>
    </xf>
    <xf numFmtId="166" fontId="14" fillId="2" borderId="5" xfId="1" applyNumberFormat="1" applyFont="1" applyFill="1" applyBorder="1" applyAlignment="1">
      <alignment horizontal="right"/>
    </xf>
    <xf numFmtId="171" fontId="10" fillId="3" borderId="5" xfId="1" applyNumberFormat="1" applyFont="1" applyFill="1" applyBorder="1" applyAlignment="1">
      <alignment horizontal="right"/>
    </xf>
    <xf numFmtId="0" fontId="5" fillId="2" borderId="0" xfId="4" applyFont="1" applyFill="1" applyAlignment="1" applyProtection="1">
      <alignment horizontal="left"/>
      <protection locked="0"/>
    </xf>
    <xf numFmtId="0" fontId="5" fillId="0" borderId="0" xfId="4" applyFont="1" applyAlignment="1" applyProtection="1">
      <alignment horizontal="left"/>
      <protection locked="0"/>
    </xf>
    <xf numFmtId="165" fontId="5" fillId="0" borderId="0" xfId="5" applyNumberFormat="1" applyFont="1" applyFill="1" applyBorder="1" applyAlignment="1" applyProtection="1">
      <alignment horizontal="right"/>
      <protection locked="0"/>
    </xf>
    <xf numFmtId="4" fontId="5" fillId="2" borderId="0" xfId="4" applyNumberFormat="1" applyFont="1" applyFill="1" applyAlignment="1" applyProtection="1">
      <alignment horizontal="left"/>
      <protection locked="0"/>
    </xf>
    <xf numFmtId="166" fontId="5" fillId="2" borderId="0" xfId="1" applyNumberFormat="1" applyFont="1" applyFill="1" applyBorder="1" applyAlignment="1" applyProtection="1">
      <alignment horizontal="right"/>
      <protection locked="0"/>
    </xf>
    <xf numFmtId="168" fontId="5" fillId="2" borderId="0" xfId="2" applyNumberFormat="1" applyFont="1" applyFill="1" applyBorder="1" applyAlignment="1" applyProtection="1">
      <alignment horizontal="right"/>
      <protection locked="0"/>
    </xf>
    <xf numFmtId="166" fontId="5" fillId="0" borderId="0" xfId="1" applyNumberFormat="1" applyFont="1" applyFill="1" applyBorder="1" applyAlignment="1" applyProtection="1">
      <alignment horizontal="right"/>
      <protection locked="0"/>
    </xf>
    <xf numFmtId="166" fontId="14" fillId="5" borderId="0" xfId="1" applyNumberFormat="1" applyFont="1" applyFill="1" applyBorder="1" applyAlignment="1">
      <alignment horizontal="right"/>
    </xf>
    <xf numFmtId="165" fontId="14" fillId="0" borderId="0" xfId="5" applyNumberFormat="1" applyFont="1" applyFill="1" applyBorder="1" applyAlignment="1" applyProtection="1">
      <alignment horizontal="right"/>
      <protection locked="0"/>
    </xf>
    <xf numFmtId="9" fontId="14" fillId="5" borderId="0" xfId="2" applyFont="1" applyFill="1" applyBorder="1" applyAlignment="1">
      <alignment horizontal="right"/>
    </xf>
    <xf numFmtId="171" fontId="0" fillId="2" borderId="0" xfId="1" applyNumberFormat="1" applyFont="1" applyFill="1"/>
    <xf numFmtId="9" fontId="0" fillId="2" borderId="0" xfId="2" applyFont="1" applyFill="1"/>
    <xf numFmtId="164" fontId="0" fillId="2" borderId="7" xfId="1" applyFont="1" applyFill="1" applyBorder="1" applyAlignment="1">
      <alignment horizontal="right"/>
    </xf>
    <xf numFmtId="164" fontId="9" fillId="2" borderId="8" xfId="1" applyFont="1" applyFill="1" applyBorder="1" applyAlignment="1">
      <alignment horizontal="right"/>
    </xf>
    <xf numFmtId="166" fontId="0" fillId="0" borderId="5" xfId="1" applyNumberFormat="1" applyFont="1" applyFill="1" applyBorder="1" applyAlignment="1">
      <alignment horizontal="right"/>
    </xf>
    <xf numFmtId="166" fontId="0" fillId="0" borderId="2" xfId="1" applyNumberFormat="1" applyFont="1" applyFill="1" applyBorder="1" applyAlignment="1">
      <alignment horizontal="right"/>
    </xf>
    <xf numFmtId="165" fontId="0" fillId="0" borderId="6" xfId="16" applyNumberFormat="1" applyFont="1" applyFill="1" applyBorder="1" applyAlignment="1">
      <alignment horizontal="right"/>
    </xf>
    <xf numFmtId="169" fontId="0" fillId="0" borderId="6" xfId="16" applyNumberFormat="1" applyFont="1" applyFill="1" applyBorder="1" applyAlignment="1">
      <alignment horizontal="right"/>
    </xf>
    <xf numFmtId="9" fontId="0" fillId="0" borderId="6" xfId="2" applyFont="1" applyFill="1" applyBorder="1" applyAlignment="1">
      <alignment horizontal="right"/>
    </xf>
    <xf numFmtId="166" fontId="0" fillId="0" borderId="6" xfId="1" applyNumberFormat="1" applyFont="1" applyFill="1" applyBorder="1" applyAlignment="1">
      <alignment horizontal="right"/>
    </xf>
    <xf numFmtId="43" fontId="0" fillId="0" borderId="7" xfId="16" applyFont="1" applyFill="1" applyBorder="1" applyAlignment="1">
      <alignment horizontal="right"/>
    </xf>
    <xf numFmtId="169" fontId="1" fillId="0" borderId="7" xfId="16" applyNumberFormat="1" applyFont="1" applyFill="1" applyBorder="1" applyAlignment="1">
      <alignment horizontal="right"/>
    </xf>
    <xf numFmtId="9" fontId="1" fillId="0" borderId="7" xfId="2" applyFont="1" applyFill="1" applyBorder="1" applyAlignment="1">
      <alignment horizontal="right"/>
    </xf>
    <xf numFmtId="166" fontId="1" fillId="0" borderId="7" xfId="1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16" applyNumberFormat="1" applyFont="1" applyFill="1" applyBorder="1" applyAlignment="1">
      <alignment horizontal="right"/>
    </xf>
    <xf numFmtId="166" fontId="2" fillId="0" borderId="7" xfId="1" applyNumberFormat="1" applyFont="1" applyFill="1" applyBorder="1" applyAlignment="1">
      <alignment horizontal="right"/>
    </xf>
    <xf numFmtId="165" fontId="1" fillId="0" borderId="7" xfId="16" applyNumberFormat="1" applyFont="1" applyFill="1" applyBorder="1" applyAlignment="1">
      <alignment horizontal="right"/>
    </xf>
    <xf numFmtId="165" fontId="0" fillId="0" borderId="5" xfId="16" applyNumberFormat="1" applyFont="1" applyFill="1" applyBorder="1" applyAlignment="1">
      <alignment horizontal="right"/>
    </xf>
    <xf numFmtId="168" fontId="0" fillId="0" borderId="9" xfId="2" applyNumberFormat="1" applyFont="1" applyFill="1" applyBorder="1" applyAlignment="1">
      <alignment horizontal="right"/>
    </xf>
    <xf numFmtId="166" fontId="0" fillId="0" borderId="9" xfId="1" applyNumberFormat="1" applyFont="1" applyFill="1" applyBorder="1" applyAlignment="1">
      <alignment horizontal="right"/>
    </xf>
    <xf numFmtId="9" fontId="0" fillId="0" borderId="7" xfId="2" applyFont="1" applyFill="1" applyBorder="1" applyAlignment="1">
      <alignment horizontal="right"/>
    </xf>
    <xf numFmtId="164" fontId="0" fillId="0" borderId="7" xfId="1" applyFont="1" applyFill="1" applyBorder="1" applyAlignment="1">
      <alignment horizontal="right"/>
    </xf>
    <xf numFmtId="0" fontId="0" fillId="4" borderId="0" xfId="0" applyFill="1" applyAlignment="1">
      <alignment horizontal="center"/>
    </xf>
  </cellXfs>
  <cellStyles count="20">
    <cellStyle name="Euro 5" xfId="13" xr:uid="{972B99C4-4279-4864-B2CD-1DF02B53965F}"/>
    <cellStyle name="Komma" xfId="16" builtinId="3"/>
    <cellStyle name="Komma 10" xfId="12" xr:uid="{56233D34-DC35-4165-AD31-D6EA6A2C95FD}"/>
    <cellStyle name="Komma 2" xfId="15" xr:uid="{925EA79F-1F8E-483A-A100-7ED56F503B8B}"/>
    <cellStyle name="Komma 2 2" xfId="18" xr:uid="{F26E7F15-6F22-4D74-B520-03E54DACF545}"/>
    <cellStyle name="Komma 3" xfId="5" xr:uid="{B7129123-66CE-424E-81D9-72552F485567}"/>
    <cellStyle name="Komma 4" xfId="19" xr:uid="{7D382469-9F48-496B-A05E-2099BF36B8DB}"/>
    <cellStyle name="Komma 5" xfId="17" xr:uid="{FDF7B967-3411-49C7-A50F-E27EEEF36526}"/>
    <cellStyle name="Procent" xfId="2" builtinId="5"/>
    <cellStyle name="Procent 2" xfId="6" xr:uid="{63724586-D124-4FB1-8B95-2593DAEC69EC}"/>
    <cellStyle name="Standaard" xfId="0" builtinId="0"/>
    <cellStyle name="Standaard 2" xfId="3" xr:uid="{F2714789-E0ED-4812-9E19-47CC62093F43}"/>
    <cellStyle name="Standaard 2 2" xfId="4" xr:uid="{7F28E329-F38E-4B2E-A342-237DFEF513DE}"/>
    <cellStyle name="Standaard 2 3" xfId="9" xr:uid="{4E05A5F2-4206-4A03-AA08-061B71D29254}"/>
    <cellStyle name="Standaard 2 4" xfId="11" xr:uid="{EF99A7BF-6793-4DFE-8D3C-281CB5E490C5}"/>
    <cellStyle name="Standaard 3" xfId="10" xr:uid="{03D6064E-1C72-4646-86AD-03EFAC79095F}"/>
    <cellStyle name="Standaard 4" xfId="14" xr:uid="{E134610E-D142-48D5-B746-99D552FAD23B}"/>
    <cellStyle name="Valuta" xfId="1" builtinId="4"/>
    <cellStyle name="Valuta 2" xfId="7" xr:uid="{95808CD0-B77C-48F0-B82C-35373B89D73E}"/>
    <cellStyle name="Valuta 3" xfId="8" xr:uid="{D40CEF51-BD08-4E94-97C4-A11222AF46A2}"/>
  </cellStyles>
  <dxfs count="5"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  <dxf>
      <font>
        <color rgb="FF7E350E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7E350E"/>
      <color rgb="FFE32427"/>
      <color rgb="FFB4C6E7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F326-EB8A-4CA1-A0D5-D649D6BAEF63}">
  <sheetPr codeName="Blad8">
    <tabColor rgb="FFFF0000"/>
  </sheetPr>
  <dimension ref="A2:G21"/>
  <sheetViews>
    <sheetView workbookViewId="0"/>
  </sheetViews>
  <sheetFormatPr baseColWidth="10" defaultColWidth="8.83203125" defaultRowHeight="15" x14ac:dyDescent="0.2"/>
  <cols>
    <col min="1" max="1" width="23.5" customWidth="1"/>
  </cols>
  <sheetData>
    <row r="2" spans="1:7" x14ac:dyDescent="0.2">
      <c r="A2" s="268" t="s">
        <v>0</v>
      </c>
    </row>
    <row r="3" spans="1:7" x14ac:dyDescent="0.2">
      <c r="A3" t="s">
        <v>1</v>
      </c>
    </row>
    <row r="5" spans="1:7" x14ac:dyDescent="0.2">
      <c r="A5" s="297" t="s">
        <v>2</v>
      </c>
      <c r="B5" s="297"/>
      <c r="C5" s="297"/>
      <c r="D5" s="297"/>
      <c r="E5" s="297"/>
      <c r="F5" s="297"/>
      <c r="G5" s="297"/>
    </row>
    <row r="6" spans="1:7" x14ac:dyDescent="0.2">
      <c r="A6" s="298" t="s">
        <v>3</v>
      </c>
      <c r="B6" s="298"/>
      <c r="C6" s="298"/>
      <c r="D6" s="298"/>
      <c r="E6" s="298"/>
      <c r="F6" s="298"/>
      <c r="G6" s="298"/>
    </row>
    <row r="7" spans="1:7" x14ac:dyDescent="0.2">
      <c r="A7" s="299" t="s">
        <v>4</v>
      </c>
      <c r="B7" s="299"/>
      <c r="C7" s="299"/>
      <c r="D7" s="299"/>
      <c r="E7" s="299"/>
      <c r="F7" s="299"/>
      <c r="G7" s="299"/>
    </row>
    <row r="9" spans="1:7" x14ac:dyDescent="0.2">
      <c r="A9" s="268" t="s">
        <v>5</v>
      </c>
    </row>
    <row r="10" spans="1:7" x14ac:dyDescent="0.2">
      <c r="A10" t="s">
        <v>6</v>
      </c>
      <c r="B10" t="s">
        <v>7</v>
      </c>
    </row>
    <row r="11" spans="1:7" x14ac:dyDescent="0.2">
      <c r="A11" t="s">
        <v>8</v>
      </c>
      <c r="B11" t="s">
        <v>9</v>
      </c>
    </row>
    <row r="12" spans="1:7" x14ac:dyDescent="0.2">
      <c r="B12" t="s">
        <v>10</v>
      </c>
    </row>
    <row r="13" spans="1:7" x14ac:dyDescent="0.2">
      <c r="A13" t="s">
        <v>11</v>
      </c>
      <c r="B13" t="s">
        <v>12</v>
      </c>
    </row>
    <row r="14" spans="1:7" x14ac:dyDescent="0.2">
      <c r="B14" t="s">
        <v>13</v>
      </c>
    </row>
    <row r="15" spans="1:7" x14ac:dyDescent="0.2">
      <c r="B15" t="s">
        <v>14</v>
      </c>
    </row>
    <row r="16" spans="1:7" x14ac:dyDescent="0.2">
      <c r="A16" t="s">
        <v>15</v>
      </c>
      <c r="B16" t="s">
        <v>16</v>
      </c>
    </row>
    <row r="17" spans="1:2" x14ac:dyDescent="0.2">
      <c r="A17" t="s">
        <v>17</v>
      </c>
      <c r="B17" t="s">
        <v>18</v>
      </c>
    </row>
    <row r="18" spans="1:2" x14ac:dyDescent="0.2">
      <c r="A18" t="s">
        <v>19</v>
      </c>
      <c r="B18" t="s">
        <v>20</v>
      </c>
    </row>
    <row r="19" spans="1:2" x14ac:dyDescent="0.2">
      <c r="A19" t="s">
        <v>21</v>
      </c>
      <c r="B19" t="s">
        <v>22</v>
      </c>
    </row>
    <row r="21" spans="1:2" x14ac:dyDescent="0.2">
      <c r="A21" t="s">
        <v>23</v>
      </c>
    </row>
  </sheetData>
  <sheetProtection formatColumns="0" formatRows="0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CFF5-FA9E-48FD-8EE7-4FB1CAB12AD7}">
  <sheetPr codeName="Blad9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04E2-E424-4FBE-A549-084D17BDFC42}">
  <sheetPr codeName="Blad11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D4B3-5D4A-4E14-AC4F-C688DEC914BD}">
  <sheetPr codeName="Blad12"/>
  <dimension ref="A1"/>
  <sheetViews>
    <sheetView workbookViewId="0"/>
  </sheetViews>
  <sheetFormatPr baseColWidth="10" defaultColWidth="8.83203125" defaultRowHeight="15" x14ac:dyDescent="0.2"/>
  <cols>
    <col min="1" max="16384" width="8.83203125" style="277"/>
  </cols>
  <sheetData/>
  <sheetProtection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444A-602D-451E-B263-3B24F2DD7CC8}">
  <sheetPr codeName="Blad10">
    <tabColor rgb="FF92D050"/>
    <pageSetUpPr fitToPage="1"/>
  </sheetPr>
  <dimension ref="A1:W201"/>
  <sheetViews>
    <sheetView workbookViewId="0"/>
  </sheetViews>
  <sheetFormatPr baseColWidth="10" defaultColWidth="8.83203125" defaultRowHeight="15" x14ac:dyDescent="0.2"/>
  <cols>
    <col min="1" max="1" width="22.5" style="3" bestFit="1" customWidth="1"/>
    <col min="2" max="2" width="21.5" customWidth="1"/>
  </cols>
  <sheetData>
    <row r="1" spans="1:23" s="2" customFormat="1" ht="28.5" customHeight="1" x14ac:dyDescent="0.3">
      <c r="A1" s="3"/>
      <c r="B1" s="3"/>
      <c r="C1" s="14"/>
      <c r="D1" s="3"/>
      <c r="W1" s="55"/>
    </row>
    <row r="5" spans="1:23" x14ac:dyDescent="0.2">
      <c r="A5" s="3" t="s">
        <v>24</v>
      </c>
      <c r="B5" s="277" t="s">
        <v>25</v>
      </c>
    </row>
    <row r="6" spans="1:23" x14ac:dyDescent="0.2">
      <c r="A6" s="3" t="s">
        <v>26</v>
      </c>
      <c r="B6" s="277" t="s">
        <v>27</v>
      </c>
    </row>
    <row r="8" spans="1:23" x14ac:dyDescent="0.2">
      <c r="A8" s="3" t="s">
        <v>28</v>
      </c>
      <c r="B8" s="278" t="s">
        <v>29</v>
      </c>
    </row>
    <row r="9" spans="1:23" x14ac:dyDescent="0.2">
      <c r="A9" s="3" t="s">
        <v>30</v>
      </c>
      <c r="B9" s="278" t="s">
        <v>29</v>
      </c>
    </row>
    <row r="10" spans="1:23" x14ac:dyDescent="0.2">
      <c r="B10" s="3"/>
    </row>
    <row r="11" spans="1:23" x14ac:dyDescent="0.2">
      <c r="A11" s="3" t="s">
        <v>31</v>
      </c>
      <c r="B11" s="279" t="s">
        <v>32</v>
      </c>
    </row>
    <row r="12" spans="1:23" x14ac:dyDescent="0.2">
      <c r="A12" s="3" t="s">
        <v>33</v>
      </c>
      <c r="B12" s="278" t="s">
        <v>29</v>
      </c>
    </row>
    <row r="15" spans="1:23" x14ac:dyDescent="0.2">
      <c r="A15" s="3" t="s">
        <v>34</v>
      </c>
    </row>
    <row r="16" spans="1:23" x14ac:dyDescent="0.2">
      <c r="A16" s="280"/>
      <c r="B16" s="281"/>
      <c r="C16" s="281"/>
      <c r="D16" s="281"/>
      <c r="E16" s="281"/>
      <c r="F16" s="281"/>
      <c r="G16" s="282"/>
    </row>
    <row r="17" spans="1:7" x14ac:dyDescent="0.2">
      <c r="A17" s="283"/>
      <c r="B17" s="277"/>
      <c r="C17" s="277"/>
      <c r="D17" s="277"/>
      <c r="E17" s="277"/>
      <c r="F17" s="277"/>
      <c r="G17" s="284"/>
    </row>
    <row r="18" spans="1:7" x14ac:dyDescent="0.2">
      <c r="A18" s="283"/>
      <c r="B18" s="277"/>
      <c r="C18" s="277"/>
      <c r="D18" s="277"/>
      <c r="E18" s="277"/>
      <c r="F18" s="277"/>
      <c r="G18" s="284"/>
    </row>
    <row r="19" spans="1:7" x14ac:dyDescent="0.2">
      <c r="A19" s="283"/>
      <c r="B19" s="277"/>
      <c r="C19" s="277"/>
      <c r="D19" s="277"/>
      <c r="E19" s="277"/>
      <c r="F19" s="277"/>
      <c r="G19" s="284"/>
    </row>
    <row r="20" spans="1:7" x14ac:dyDescent="0.2">
      <c r="A20" s="283"/>
      <c r="B20" s="277"/>
      <c r="C20" s="277"/>
      <c r="D20" s="277"/>
      <c r="E20" s="277"/>
      <c r="F20" s="277"/>
      <c r="G20" s="284"/>
    </row>
    <row r="21" spans="1:7" x14ac:dyDescent="0.2">
      <c r="A21" s="283"/>
      <c r="B21" s="277"/>
      <c r="C21" s="277"/>
      <c r="D21" s="277"/>
      <c r="E21" s="277"/>
      <c r="F21" s="277"/>
      <c r="G21" s="284"/>
    </row>
    <row r="22" spans="1:7" x14ac:dyDescent="0.2">
      <c r="A22" s="285"/>
      <c r="B22" s="286"/>
      <c r="C22" s="286"/>
      <c r="D22" s="286"/>
      <c r="E22" s="286"/>
      <c r="F22" s="286"/>
      <c r="G22" s="287"/>
    </row>
    <row r="201" spans="1:1" x14ac:dyDescent="0.2">
      <c r="A201" s="23"/>
    </row>
  </sheetData>
  <sheetProtection formatColumns="0" formatRows="0"/>
  <pageMargins left="0.7" right="0.7" top="0.75" bottom="0.75" header="0.3" footer="0.3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39B9-EEA4-40A9-99BF-C8969B2D9504}">
  <sheetPr codeName="Blad4">
    <tabColor rgb="FF92D050"/>
    <pageSetUpPr fitToPage="1"/>
  </sheetPr>
  <dimension ref="A1:AT208"/>
  <sheetViews>
    <sheetView topLeftCell="M1" workbookViewId="0">
      <selection activeCell="AD6" sqref="AD6"/>
    </sheetView>
  </sheetViews>
  <sheetFormatPr baseColWidth="10" defaultColWidth="9.1640625" defaultRowHeight="15" x14ac:dyDescent="0.2"/>
  <cols>
    <col min="1" max="1" width="22.5" style="3" bestFit="1" customWidth="1"/>
    <col min="2" max="2" width="46.5" style="3" customWidth="1"/>
    <col min="3" max="3" width="19" style="3" bestFit="1" customWidth="1"/>
    <col min="4" max="4" width="12.5" style="3" bestFit="1" customWidth="1"/>
    <col min="5" max="5" width="9.5" style="2" bestFit="1" customWidth="1"/>
    <col min="6" max="6" width="13.5" style="2" customWidth="1"/>
    <col min="7" max="7" width="13.1640625" style="2" customWidth="1"/>
    <col min="8" max="8" width="12.6640625" style="2" customWidth="1"/>
    <col min="9" max="9" width="10.83203125" style="2" customWidth="1"/>
    <col min="10" max="10" width="11.1640625" style="2" bestFit="1" customWidth="1"/>
    <col min="11" max="11" width="13.5" style="2" bestFit="1" customWidth="1"/>
    <col min="12" max="13" width="12.33203125" style="2" bestFit="1" customWidth="1"/>
    <col min="14" max="14" width="14.83203125" style="2" customWidth="1"/>
    <col min="15" max="15" width="15.5" style="2" customWidth="1"/>
    <col min="16" max="16" width="12.1640625" style="2" bestFit="1" customWidth="1"/>
    <col min="17" max="19" width="11.5" style="2" bestFit="1" customWidth="1"/>
    <col min="20" max="20" width="15.5" style="2" bestFit="1" customWidth="1"/>
    <col min="21" max="21" width="12.5" style="2" bestFit="1" customWidth="1"/>
    <col min="22" max="22" width="11.5" style="2" bestFit="1" customWidth="1"/>
    <col min="23" max="23" width="1.5" style="55" customWidth="1"/>
    <col min="24" max="25" width="7.5" style="2" bestFit="1" customWidth="1"/>
    <col min="26" max="26" width="16.5" style="2" bestFit="1" customWidth="1"/>
    <col min="27" max="27" width="15.5" style="2" bestFit="1" customWidth="1"/>
    <col min="28" max="28" width="12.5" style="2" bestFit="1" customWidth="1"/>
    <col min="29" max="29" width="9.1640625" style="2"/>
    <col min="30" max="30" width="52.83203125" style="2" customWidth="1"/>
    <col min="31" max="31" width="13.5" style="2" bestFit="1" customWidth="1"/>
    <col min="32" max="32" width="14.5" style="2" customWidth="1"/>
    <col min="33" max="33" width="20.83203125" style="2" customWidth="1"/>
    <col min="34" max="34" width="11.5" style="2" bestFit="1" customWidth="1"/>
    <col min="35" max="35" width="6" style="2" customWidth="1"/>
    <col min="36" max="36" width="12.5" style="2" bestFit="1" customWidth="1"/>
    <col min="37" max="37" width="10.5" style="2" customWidth="1"/>
    <col min="38" max="38" width="26.1640625" style="2" customWidth="1"/>
    <col min="39" max="39" width="11.83203125" style="2" customWidth="1"/>
    <col min="40" max="40" width="14.5" style="2" customWidth="1"/>
    <col min="41" max="41" width="12.5" style="2" customWidth="1"/>
    <col min="42" max="16384" width="9.1640625" style="2"/>
  </cols>
  <sheetData>
    <row r="1" spans="1:46" ht="28.5" customHeight="1" thickBot="1" x14ac:dyDescent="0.35">
      <c r="C1" s="14" t="str">
        <f>"Projectnaam :"&amp;Titelblad!$B$5</f>
        <v>Projectnaam :Naam project</v>
      </c>
    </row>
    <row r="2" spans="1:46" ht="30" customHeight="1" thickBot="1" x14ac:dyDescent="0.35">
      <c r="A2" s="14" t="s">
        <v>35</v>
      </c>
      <c r="C2" s="16" t="s">
        <v>36</v>
      </c>
      <c r="J2" s="57"/>
      <c r="K2" s="57"/>
      <c r="L2" s="57"/>
      <c r="M2" s="57"/>
      <c r="V2" s="57"/>
      <c r="W2" s="58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ht="28.5" customHeight="1" x14ac:dyDescent="0.2">
      <c r="W3" s="2"/>
      <c r="Z3" s="83"/>
      <c r="AE3" s="2" t="s">
        <v>37</v>
      </c>
    </row>
    <row r="4" spans="1:46" x14ac:dyDescent="0.2">
      <c r="A4" s="17" t="s">
        <v>38</v>
      </c>
      <c r="B4" s="270">
        <v>1</v>
      </c>
      <c r="C4" s="271" t="s">
        <v>39</v>
      </c>
      <c r="H4" s="59"/>
      <c r="AE4" s="2" t="s">
        <v>40</v>
      </c>
      <c r="AF4" s="2" t="s">
        <v>41</v>
      </c>
      <c r="AG4" s="2" t="s">
        <v>42</v>
      </c>
      <c r="AH4" s="2" t="s">
        <v>43</v>
      </c>
      <c r="AJ4" s="2" t="s">
        <v>44</v>
      </c>
      <c r="AK4" s="2" t="s">
        <v>45</v>
      </c>
      <c r="AL4" s="2" t="s">
        <v>46</v>
      </c>
      <c r="AM4" s="2" t="s">
        <v>47</v>
      </c>
      <c r="AN4" s="2" t="s">
        <v>48</v>
      </c>
      <c r="AO4" s="2" t="s">
        <v>49</v>
      </c>
    </row>
    <row r="5" spans="1:46" s="64" customFormat="1" ht="34.25" customHeight="1" x14ac:dyDescent="0.2">
      <c r="A5" s="18" t="s">
        <v>50</v>
      </c>
      <c r="B5" s="19" t="s">
        <v>51</v>
      </c>
      <c r="C5" s="18" t="s">
        <v>52</v>
      </c>
      <c r="D5" s="20" t="s">
        <v>53</v>
      </c>
      <c r="E5" s="60" t="s">
        <v>54</v>
      </c>
      <c r="F5" s="60" t="s">
        <v>55</v>
      </c>
      <c r="G5" s="60" t="s">
        <v>56</v>
      </c>
      <c r="H5" s="61" t="s">
        <v>57</v>
      </c>
      <c r="I5" s="60" t="s">
        <v>58</v>
      </c>
      <c r="J5" s="60" t="s">
        <v>59</v>
      </c>
      <c r="K5" s="60" t="s">
        <v>60</v>
      </c>
      <c r="L5" s="60" t="s">
        <v>61</v>
      </c>
      <c r="M5" s="60" t="s">
        <v>62</v>
      </c>
      <c r="N5" s="60" t="s">
        <v>45</v>
      </c>
      <c r="O5" s="60" t="s">
        <v>63</v>
      </c>
      <c r="P5" s="62" t="s">
        <v>64</v>
      </c>
      <c r="Q5" s="60" t="s">
        <v>65</v>
      </c>
      <c r="R5" s="60" t="s">
        <v>66</v>
      </c>
      <c r="S5" s="60" t="s">
        <v>67</v>
      </c>
      <c r="T5" s="60" t="s">
        <v>68</v>
      </c>
      <c r="U5" s="60" t="s">
        <v>42</v>
      </c>
      <c r="V5" s="60" t="s">
        <v>69</v>
      </c>
      <c r="W5" s="63"/>
      <c r="X5" s="60" t="s">
        <v>70</v>
      </c>
      <c r="Y5" s="60" t="s">
        <v>71</v>
      </c>
      <c r="Z5" s="60" t="s">
        <v>72</v>
      </c>
      <c r="AA5" s="60" t="s">
        <v>73</v>
      </c>
      <c r="AB5" s="60" t="s">
        <v>74</v>
      </c>
      <c r="AC5" s="2"/>
      <c r="AD5" s="64" t="s">
        <v>51</v>
      </c>
      <c r="AE5" s="64" t="s">
        <v>75</v>
      </c>
      <c r="AF5" s="64" t="s">
        <v>76</v>
      </c>
    </row>
    <row r="6" spans="1:46" s="58" customFormat="1" x14ac:dyDescent="0.2">
      <c r="A6" s="185"/>
      <c r="B6" s="186" t="s">
        <v>77</v>
      </c>
      <c r="C6" s="186" t="s">
        <v>77</v>
      </c>
      <c r="D6" s="186" t="s">
        <v>77</v>
      </c>
      <c r="E6" s="214"/>
      <c r="F6" s="214"/>
      <c r="G6" s="65">
        <f t="shared" ref="G6:G11" si="0">IF(F6=0,0,H6/F6)</f>
        <v>0</v>
      </c>
      <c r="H6" s="187"/>
      <c r="I6" s="211"/>
      <c r="J6" s="212"/>
      <c r="K6" s="67">
        <f>IF(I6=0,0,IF(E6=0,0,I6*12/J6))</f>
        <v>0</v>
      </c>
      <c r="L6" s="67">
        <f t="shared" ref="L6:L11" si="1">IF(E6=0,0,K6/1.21)</f>
        <v>0</v>
      </c>
      <c r="M6" s="211"/>
      <c r="N6" s="211"/>
      <c r="O6" s="211" t="s">
        <v>78</v>
      </c>
      <c r="P6" s="216"/>
      <c r="Q6" s="216"/>
      <c r="R6" s="216"/>
      <c r="S6" s="216"/>
      <c r="T6" s="67">
        <f t="shared" ref="T6:T11" si="2">SUM(M6:S6)</f>
        <v>0</v>
      </c>
      <c r="U6" s="67">
        <f t="shared" ref="U6:U11" si="3">L6-M6-N6-P6-Q6-R6-S6</f>
        <v>0</v>
      </c>
      <c r="V6" s="68">
        <f t="shared" ref="V6:V11" si="4">IF(E6=0,0,U6/L6)</f>
        <v>0</v>
      </c>
      <c r="W6" s="69"/>
      <c r="X6" s="70">
        <f t="shared" ref="X6:X11" si="5">$E6*F6</f>
        <v>0</v>
      </c>
      <c r="Y6" s="70">
        <f t="shared" ref="Y6:Y11" si="6">$E6*H6</f>
        <v>0</v>
      </c>
      <c r="Z6" s="67">
        <f t="shared" ref="Z6:Z11" si="7">$E6*L6</f>
        <v>0</v>
      </c>
      <c r="AA6" s="67">
        <f t="shared" ref="AA6:AA11" si="8">$E6*T6</f>
        <v>0</v>
      </c>
      <c r="AB6" s="67">
        <f t="shared" ref="AB6:AB11" si="9">$E6*U6</f>
        <v>0</v>
      </c>
      <c r="AD6" s="58" t="str">
        <f t="shared" ref="AD6" si="10">C6&amp;B6</f>
        <v>Type invullenType invullen</v>
      </c>
      <c r="AE6" s="71">
        <f t="shared" ref="AE6" si="11">$E6*K6</f>
        <v>0</v>
      </c>
      <c r="AF6" s="71">
        <f t="shared" ref="AF6" si="12">$E6*T6</f>
        <v>0</v>
      </c>
      <c r="AG6" s="71">
        <f t="shared" ref="AG6" si="13">$E6*U6</f>
        <v>0</v>
      </c>
      <c r="AH6" s="71">
        <f t="shared" ref="AH6" si="14">$E6*I6*12</f>
        <v>0</v>
      </c>
      <c r="AI6" s="161"/>
      <c r="AJ6" s="71">
        <f t="shared" ref="AJ6" si="15">$E6*M6</f>
        <v>0</v>
      </c>
      <c r="AK6" s="71">
        <f t="shared" ref="AK6" si="16">$E6*N6</f>
        <v>0</v>
      </c>
      <c r="AL6" s="71">
        <f t="shared" ref="AL6" si="17">$E6*P6</f>
        <v>0</v>
      </c>
      <c r="AM6" s="71">
        <f t="shared" ref="AM6" si="18">$E6*Q6</f>
        <v>0</v>
      </c>
      <c r="AN6" s="71">
        <f t="shared" ref="AN6" si="19">$E6*R6</f>
        <v>0</v>
      </c>
      <c r="AO6" s="71">
        <f t="shared" ref="AO6" si="20">$E6*S6</f>
        <v>0</v>
      </c>
    </row>
    <row r="7" spans="1:46" s="58" customFormat="1" x14ac:dyDescent="0.2">
      <c r="A7" s="185"/>
      <c r="B7" s="186" t="s">
        <v>77</v>
      </c>
      <c r="C7" s="186" t="s">
        <v>77</v>
      </c>
      <c r="D7" s="186" t="s">
        <v>77</v>
      </c>
      <c r="E7" s="214"/>
      <c r="F7" s="214"/>
      <c r="G7" s="65">
        <f t="shared" si="0"/>
        <v>0</v>
      </c>
      <c r="H7" s="187"/>
      <c r="I7" s="211"/>
      <c r="J7" s="212"/>
      <c r="K7" s="67">
        <f>IF(I7=0,0,IF(E7=0,0,I7*12/J7))</f>
        <v>0</v>
      </c>
      <c r="L7" s="67">
        <f t="shared" si="1"/>
        <v>0</v>
      </c>
      <c r="M7" s="211"/>
      <c r="N7" s="211"/>
      <c r="O7" s="211" t="s">
        <v>78</v>
      </c>
      <c r="P7" s="216"/>
      <c r="Q7" s="216"/>
      <c r="R7" s="216"/>
      <c r="S7" s="216"/>
      <c r="T7" s="67">
        <f t="shared" si="2"/>
        <v>0</v>
      </c>
      <c r="U7" s="67">
        <f t="shared" si="3"/>
        <v>0</v>
      </c>
      <c r="V7" s="68">
        <f t="shared" si="4"/>
        <v>0</v>
      </c>
      <c r="W7" s="69"/>
      <c r="X7" s="70">
        <f t="shared" si="5"/>
        <v>0</v>
      </c>
      <c r="Y7" s="70">
        <f t="shared" si="6"/>
        <v>0</v>
      </c>
      <c r="Z7" s="67">
        <f t="shared" si="7"/>
        <v>0</v>
      </c>
      <c r="AA7" s="67">
        <f t="shared" si="8"/>
        <v>0</v>
      </c>
      <c r="AB7" s="67">
        <f t="shared" si="9"/>
        <v>0</v>
      </c>
      <c r="AD7" s="58" t="str">
        <f t="shared" ref="AD7:AD8" si="21">C7&amp;B7</f>
        <v>Type invullenType invullen</v>
      </c>
      <c r="AE7" s="71">
        <f t="shared" ref="AE7:AE8" si="22">$E7*K7</f>
        <v>0</v>
      </c>
      <c r="AF7" s="71">
        <f t="shared" ref="AF7:AF8" si="23">$E7*T7</f>
        <v>0</v>
      </c>
      <c r="AG7" s="71">
        <f t="shared" ref="AG7:AG8" si="24">$E7*U7</f>
        <v>0</v>
      </c>
      <c r="AH7" s="71">
        <f t="shared" ref="AH7:AH8" si="25">$E7*I7*12</f>
        <v>0</v>
      </c>
      <c r="AI7" s="161"/>
      <c r="AJ7" s="71">
        <f t="shared" ref="AJ7:AJ8" si="26">$E7*M7</f>
        <v>0</v>
      </c>
      <c r="AK7" s="71">
        <f t="shared" ref="AK7:AK8" si="27">$E7*N7</f>
        <v>0</v>
      </c>
      <c r="AL7" s="71">
        <f t="shared" ref="AL7:AL8" si="28">$E7*P7</f>
        <v>0</v>
      </c>
      <c r="AM7" s="71">
        <f t="shared" ref="AM7:AM8" si="29">$E7*Q7</f>
        <v>0</v>
      </c>
      <c r="AN7" s="71">
        <f t="shared" ref="AN7:AN8" si="30">$E7*R7</f>
        <v>0</v>
      </c>
      <c r="AO7" s="71">
        <f t="shared" ref="AO7:AO8" si="31">$E7*S7</f>
        <v>0</v>
      </c>
    </row>
    <row r="8" spans="1:46" s="58" customFormat="1" x14ac:dyDescent="0.2">
      <c r="A8" s="185"/>
      <c r="B8" s="186" t="s">
        <v>77</v>
      </c>
      <c r="C8" s="186" t="s">
        <v>77</v>
      </c>
      <c r="D8" s="186" t="s">
        <v>77</v>
      </c>
      <c r="E8" s="214"/>
      <c r="F8" s="214"/>
      <c r="G8" s="65">
        <f t="shared" si="0"/>
        <v>0</v>
      </c>
      <c r="H8" s="187"/>
      <c r="I8" s="211"/>
      <c r="J8" s="212"/>
      <c r="K8" s="67">
        <f t="shared" ref="K8:K11" si="32">IF(I8=0,0,IF(E8=0,0,I8*12/J8))</f>
        <v>0</v>
      </c>
      <c r="L8" s="67">
        <f t="shared" si="1"/>
        <v>0</v>
      </c>
      <c r="M8" s="211"/>
      <c r="N8" s="211"/>
      <c r="O8" s="211" t="s">
        <v>78</v>
      </c>
      <c r="P8" s="216"/>
      <c r="Q8" s="216"/>
      <c r="R8" s="216"/>
      <c r="S8" s="216"/>
      <c r="T8" s="67">
        <f t="shared" si="2"/>
        <v>0</v>
      </c>
      <c r="U8" s="67">
        <f t="shared" si="3"/>
        <v>0</v>
      </c>
      <c r="V8" s="68">
        <f t="shared" si="4"/>
        <v>0</v>
      </c>
      <c r="W8" s="69"/>
      <c r="X8" s="70">
        <f t="shared" si="5"/>
        <v>0</v>
      </c>
      <c r="Y8" s="70">
        <f t="shared" si="6"/>
        <v>0</v>
      </c>
      <c r="Z8" s="67">
        <f t="shared" si="7"/>
        <v>0</v>
      </c>
      <c r="AA8" s="67">
        <f t="shared" si="8"/>
        <v>0</v>
      </c>
      <c r="AB8" s="67">
        <f t="shared" si="9"/>
        <v>0</v>
      </c>
      <c r="AD8" s="58" t="str">
        <f t="shared" si="21"/>
        <v>Type invullenType invullen</v>
      </c>
      <c r="AE8" s="71">
        <f t="shared" si="22"/>
        <v>0</v>
      </c>
      <c r="AF8" s="71">
        <f t="shared" si="23"/>
        <v>0</v>
      </c>
      <c r="AG8" s="71">
        <f t="shared" si="24"/>
        <v>0</v>
      </c>
      <c r="AH8" s="71">
        <f t="shared" si="25"/>
        <v>0</v>
      </c>
      <c r="AI8" s="161"/>
      <c r="AJ8" s="71">
        <f t="shared" si="26"/>
        <v>0</v>
      </c>
      <c r="AK8" s="71">
        <f t="shared" si="27"/>
        <v>0</v>
      </c>
      <c r="AL8" s="71">
        <f t="shared" si="28"/>
        <v>0</v>
      </c>
      <c r="AM8" s="71">
        <f t="shared" si="29"/>
        <v>0</v>
      </c>
      <c r="AN8" s="71">
        <f t="shared" si="30"/>
        <v>0</v>
      </c>
      <c r="AO8" s="71">
        <f t="shared" si="31"/>
        <v>0</v>
      </c>
    </row>
    <row r="9" spans="1:46" s="58" customFormat="1" x14ac:dyDescent="0.2">
      <c r="A9" s="185"/>
      <c r="B9" s="186" t="s">
        <v>77</v>
      </c>
      <c r="C9" s="186" t="s">
        <v>77</v>
      </c>
      <c r="D9" s="186" t="s">
        <v>77</v>
      </c>
      <c r="E9" s="214"/>
      <c r="F9" s="214"/>
      <c r="G9" s="65">
        <f t="shared" si="0"/>
        <v>0</v>
      </c>
      <c r="H9" s="187"/>
      <c r="I9" s="211"/>
      <c r="J9" s="212"/>
      <c r="K9" s="67">
        <f t="shared" si="32"/>
        <v>0</v>
      </c>
      <c r="L9" s="67">
        <f t="shared" si="1"/>
        <v>0</v>
      </c>
      <c r="M9" s="211"/>
      <c r="N9" s="211"/>
      <c r="O9" s="211" t="s">
        <v>78</v>
      </c>
      <c r="P9" s="216"/>
      <c r="Q9" s="216"/>
      <c r="R9" s="216"/>
      <c r="S9" s="216"/>
      <c r="T9" s="67">
        <f t="shared" si="2"/>
        <v>0</v>
      </c>
      <c r="U9" s="67">
        <f t="shared" si="3"/>
        <v>0</v>
      </c>
      <c r="V9" s="68">
        <f t="shared" si="4"/>
        <v>0</v>
      </c>
      <c r="W9" s="69"/>
      <c r="X9" s="70">
        <f t="shared" si="5"/>
        <v>0</v>
      </c>
      <c r="Y9" s="70">
        <f t="shared" si="6"/>
        <v>0</v>
      </c>
      <c r="Z9" s="67">
        <f t="shared" si="7"/>
        <v>0</v>
      </c>
      <c r="AA9" s="67">
        <f t="shared" si="8"/>
        <v>0</v>
      </c>
      <c r="AB9" s="67">
        <f t="shared" si="9"/>
        <v>0</v>
      </c>
      <c r="AD9" s="58" t="str">
        <f t="shared" ref="AD9:AD11" si="33">C9&amp;B9</f>
        <v>Type invullenType invullen</v>
      </c>
      <c r="AE9" s="71">
        <f t="shared" ref="AE9:AE11" si="34">$E9*K9</f>
        <v>0</v>
      </c>
      <c r="AF9" s="71">
        <f t="shared" ref="AF9:AF11" si="35">$E9*T9</f>
        <v>0</v>
      </c>
      <c r="AG9" s="71">
        <f t="shared" ref="AG9:AG11" si="36">$E9*U9</f>
        <v>0</v>
      </c>
      <c r="AH9" s="71">
        <f t="shared" ref="AH9:AH11" si="37">$E9*I9*12</f>
        <v>0</v>
      </c>
      <c r="AI9" s="161"/>
      <c r="AJ9" s="71">
        <f t="shared" ref="AJ9:AJ11" si="38">$E9*M9</f>
        <v>0</v>
      </c>
      <c r="AK9" s="71">
        <f t="shared" ref="AK9:AK11" si="39">$E9*N9</f>
        <v>0</v>
      </c>
      <c r="AL9" s="71">
        <f t="shared" ref="AL9:AL11" si="40">$E9*P9</f>
        <v>0</v>
      </c>
      <c r="AM9" s="71">
        <f t="shared" ref="AM9:AM11" si="41">$E9*Q9</f>
        <v>0</v>
      </c>
      <c r="AN9" s="71">
        <f t="shared" ref="AN9:AN11" si="42">$E9*R9</f>
        <v>0</v>
      </c>
      <c r="AO9" s="71">
        <f t="shared" ref="AO9:AO11" si="43">$E9*S9</f>
        <v>0</v>
      </c>
    </row>
    <row r="10" spans="1:46" s="58" customFormat="1" x14ac:dyDescent="0.2">
      <c r="A10" s="185"/>
      <c r="B10" s="186" t="s">
        <v>77</v>
      </c>
      <c r="C10" s="186" t="s">
        <v>77</v>
      </c>
      <c r="D10" s="186" t="s">
        <v>77</v>
      </c>
      <c r="E10" s="214"/>
      <c r="F10" s="214"/>
      <c r="G10" s="65">
        <f t="shared" si="0"/>
        <v>0</v>
      </c>
      <c r="H10" s="187"/>
      <c r="I10" s="211"/>
      <c r="J10" s="212"/>
      <c r="K10" s="67">
        <f t="shared" si="32"/>
        <v>0</v>
      </c>
      <c r="L10" s="67">
        <f t="shared" si="1"/>
        <v>0</v>
      </c>
      <c r="M10" s="211"/>
      <c r="N10" s="211"/>
      <c r="O10" s="211" t="s">
        <v>78</v>
      </c>
      <c r="P10" s="216"/>
      <c r="Q10" s="216"/>
      <c r="R10" s="216"/>
      <c r="S10" s="216"/>
      <c r="T10" s="67">
        <f t="shared" si="2"/>
        <v>0</v>
      </c>
      <c r="U10" s="67">
        <f t="shared" si="3"/>
        <v>0</v>
      </c>
      <c r="V10" s="68">
        <f t="shared" si="4"/>
        <v>0</v>
      </c>
      <c r="W10" s="69"/>
      <c r="X10" s="70">
        <f t="shared" si="5"/>
        <v>0</v>
      </c>
      <c r="Y10" s="70">
        <f t="shared" si="6"/>
        <v>0</v>
      </c>
      <c r="Z10" s="67">
        <f t="shared" si="7"/>
        <v>0</v>
      </c>
      <c r="AA10" s="67">
        <f t="shared" si="8"/>
        <v>0</v>
      </c>
      <c r="AB10" s="67">
        <f t="shared" si="9"/>
        <v>0</v>
      </c>
      <c r="AD10" s="58" t="str">
        <f t="shared" si="33"/>
        <v>Type invullenType invullen</v>
      </c>
      <c r="AE10" s="71">
        <f t="shared" si="34"/>
        <v>0</v>
      </c>
      <c r="AF10" s="71">
        <f t="shared" si="35"/>
        <v>0</v>
      </c>
      <c r="AG10" s="71">
        <f t="shared" si="36"/>
        <v>0</v>
      </c>
      <c r="AH10" s="71">
        <f t="shared" si="37"/>
        <v>0</v>
      </c>
      <c r="AI10" s="161"/>
      <c r="AJ10" s="71">
        <f t="shared" si="38"/>
        <v>0</v>
      </c>
      <c r="AK10" s="71">
        <f t="shared" si="39"/>
        <v>0</v>
      </c>
      <c r="AL10" s="71">
        <f t="shared" si="40"/>
        <v>0</v>
      </c>
      <c r="AM10" s="71">
        <f t="shared" si="41"/>
        <v>0</v>
      </c>
      <c r="AN10" s="71">
        <f t="shared" si="42"/>
        <v>0</v>
      </c>
      <c r="AO10" s="71">
        <f t="shared" si="43"/>
        <v>0</v>
      </c>
    </row>
    <row r="11" spans="1:46" s="58" customFormat="1" x14ac:dyDescent="0.2">
      <c r="A11" s="185"/>
      <c r="B11" s="186" t="s">
        <v>77</v>
      </c>
      <c r="C11" s="186" t="s">
        <v>77</v>
      </c>
      <c r="D11" s="186" t="s">
        <v>77</v>
      </c>
      <c r="E11" s="214"/>
      <c r="F11" s="214"/>
      <c r="G11" s="65">
        <f t="shared" si="0"/>
        <v>0</v>
      </c>
      <c r="H11" s="187"/>
      <c r="I11" s="211"/>
      <c r="J11" s="212"/>
      <c r="K11" s="67">
        <f t="shared" si="32"/>
        <v>0</v>
      </c>
      <c r="L11" s="67">
        <f t="shared" si="1"/>
        <v>0</v>
      </c>
      <c r="M11" s="211"/>
      <c r="N11" s="211"/>
      <c r="O11" s="211" t="s">
        <v>78</v>
      </c>
      <c r="P11" s="216"/>
      <c r="Q11" s="216"/>
      <c r="R11" s="216"/>
      <c r="S11" s="216"/>
      <c r="T11" s="67">
        <f t="shared" si="2"/>
        <v>0</v>
      </c>
      <c r="U11" s="67">
        <f t="shared" si="3"/>
        <v>0</v>
      </c>
      <c r="V11" s="68">
        <f t="shared" si="4"/>
        <v>0</v>
      </c>
      <c r="W11" s="69"/>
      <c r="X11" s="70">
        <f t="shared" si="5"/>
        <v>0</v>
      </c>
      <c r="Y11" s="70">
        <f t="shared" si="6"/>
        <v>0</v>
      </c>
      <c r="Z11" s="67">
        <f t="shared" si="7"/>
        <v>0</v>
      </c>
      <c r="AA11" s="67">
        <f t="shared" si="8"/>
        <v>0</v>
      </c>
      <c r="AB11" s="67">
        <f t="shared" si="9"/>
        <v>0</v>
      </c>
      <c r="AD11" s="58" t="str">
        <f t="shared" si="33"/>
        <v>Type invullenType invullen</v>
      </c>
      <c r="AE11" s="71">
        <f t="shared" si="34"/>
        <v>0</v>
      </c>
      <c r="AF11" s="71">
        <f t="shared" si="35"/>
        <v>0</v>
      </c>
      <c r="AG11" s="71">
        <f t="shared" si="36"/>
        <v>0</v>
      </c>
      <c r="AH11" s="71">
        <f t="shared" si="37"/>
        <v>0</v>
      </c>
      <c r="AI11" s="161"/>
      <c r="AJ11" s="71">
        <f t="shared" si="38"/>
        <v>0</v>
      </c>
      <c r="AK11" s="71">
        <f t="shared" si="39"/>
        <v>0</v>
      </c>
      <c r="AL11" s="71">
        <f t="shared" si="40"/>
        <v>0</v>
      </c>
      <c r="AM11" s="71">
        <f t="shared" si="41"/>
        <v>0</v>
      </c>
      <c r="AN11" s="71">
        <f t="shared" si="42"/>
        <v>0</v>
      </c>
      <c r="AO11" s="71">
        <f t="shared" si="43"/>
        <v>0</v>
      </c>
    </row>
    <row r="12" spans="1:46" s="58" customFormat="1" x14ac:dyDescent="0.2">
      <c r="A12" s="24"/>
      <c r="B12" s="25"/>
      <c r="C12" s="25"/>
      <c r="D12" s="25"/>
      <c r="E12" s="289"/>
      <c r="F12" s="293"/>
      <c r="G12" s="72"/>
      <c r="H12" s="73"/>
      <c r="I12" s="74"/>
      <c r="J12" s="75"/>
      <c r="K12" s="67"/>
      <c r="L12" s="67"/>
      <c r="M12" s="67"/>
      <c r="N12" s="74"/>
      <c r="O12" s="74"/>
      <c r="P12" s="67"/>
      <c r="Q12" s="67"/>
      <c r="R12" s="67"/>
      <c r="S12" s="67"/>
      <c r="T12" s="67"/>
      <c r="U12" s="67"/>
      <c r="V12" s="68"/>
      <c r="W12" s="69"/>
      <c r="X12" s="70"/>
      <c r="Y12" s="70"/>
      <c r="Z12" s="67"/>
      <c r="AA12" s="67"/>
      <c r="AB12" s="67"/>
      <c r="AE12" s="71"/>
      <c r="AF12" s="71"/>
      <c r="AG12" s="71"/>
      <c r="AH12" s="71"/>
      <c r="AJ12" s="71"/>
    </row>
    <row r="13" spans="1:46" ht="16" thickBot="1" x14ac:dyDescent="0.25">
      <c r="A13" s="26" t="s">
        <v>79</v>
      </c>
      <c r="B13" s="27"/>
      <c r="C13" s="27"/>
      <c r="D13" s="27"/>
      <c r="E13" s="290">
        <f>SUM(E6:E12)</f>
        <v>0</v>
      </c>
      <c r="F13" s="294"/>
      <c r="G13" s="78"/>
      <c r="H13" s="79"/>
      <c r="I13" s="79"/>
      <c r="J13" s="79"/>
      <c r="K13" s="80">
        <f>SUMPRODUCT(K$6:K$12,$E$6:$E$12)</f>
        <v>0</v>
      </c>
      <c r="L13" s="80">
        <f>SUMPRODUCT(L$6:L$12,$E$6:$E$12)</f>
        <v>0</v>
      </c>
      <c r="M13" s="80">
        <f>SUMPRODUCT(M$6:M$12,$E$6:$E$12)</f>
        <v>0</v>
      </c>
      <c r="N13" s="80">
        <f>SUMPRODUCT(N$6:N$12,$E$6:$E$12)</f>
        <v>0</v>
      </c>
      <c r="O13" s="80"/>
      <c r="P13" s="80">
        <f t="shared" ref="P13:U13" si="44">SUMPRODUCT(P$6:P$12,$E$6:$E$12)</f>
        <v>0</v>
      </c>
      <c r="Q13" s="80">
        <f t="shared" si="44"/>
        <v>0</v>
      </c>
      <c r="R13" s="80">
        <f t="shared" si="44"/>
        <v>0</v>
      </c>
      <c r="S13" s="80">
        <f t="shared" si="44"/>
        <v>0</v>
      </c>
      <c r="T13" s="80">
        <f t="shared" si="44"/>
        <v>0</v>
      </c>
      <c r="U13" s="80">
        <f t="shared" si="44"/>
        <v>0</v>
      </c>
      <c r="V13" s="81"/>
      <c r="W13" s="69"/>
      <c r="X13" s="77">
        <f>SUM(X6:X12)</f>
        <v>0</v>
      </c>
      <c r="Y13" s="77">
        <f>SUM(Y6:Y12)</f>
        <v>0</v>
      </c>
      <c r="Z13" s="80">
        <f>SUM(Z6:Z12)</f>
        <v>0</v>
      </c>
      <c r="AA13" s="80">
        <f>SUM(AA6:AA12)</f>
        <v>0</v>
      </c>
      <c r="AB13" s="80">
        <f>SUM(AB6:AB12)</f>
        <v>0</v>
      </c>
      <c r="AE13" s="202"/>
    </row>
    <row r="14" spans="1:46" ht="16" thickTop="1" x14ac:dyDescent="0.2">
      <c r="A14" s="28"/>
      <c r="B14" s="29"/>
      <c r="C14" s="29"/>
      <c r="W14" s="69"/>
      <c r="AE14" s="83"/>
      <c r="AH14" s="83"/>
      <c r="AI14" s="161"/>
    </row>
    <row r="15" spans="1:46" x14ac:dyDescent="0.2">
      <c r="A15" s="17" t="s">
        <v>80</v>
      </c>
      <c r="B15" s="270">
        <v>1</v>
      </c>
      <c r="C15" s="271" t="s">
        <v>39</v>
      </c>
      <c r="W15" s="69"/>
      <c r="AE15" s="83">
        <f>SUM(AE6:AE14)</f>
        <v>0</v>
      </c>
      <c r="AH15" s="83">
        <f>SUM(AH6:AH14)</f>
        <v>0</v>
      </c>
      <c r="AI15" s="2" t="e">
        <f>AH15/AE15</f>
        <v>#DIV/0!</v>
      </c>
    </row>
    <row r="16" spans="1:46" s="64" customFormat="1" ht="34.25" customHeight="1" x14ac:dyDescent="0.2">
      <c r="A16" s="18" t="s">
        <v>50</v>
      </c>
      <c r="B16" s="19" t="s">
        <v>51</v>
      </c>
      <c r="C16" s="18" t="s">
        <v>52</v>
      </c>
      <c r="D16" s="20" t="s">
        <v>53</v>
      </c>
      <c r="E16" s="60" t="s">
        <v>54</v>
      </c>
      <c r="F16" s="60" t="s">
        <v>55</v>
      </c>
      <c r="G16" s="60" t="s">
        <v>56</v>
      </c>
      <c r="H16" s="60" t="s">
        <v>57</v>
      </c>
      <c r="I16" s="60"/>
      <c r="J16" s="60"/>
      <c r="K16" s="60" t="s">
        <v>81</v>
      </c>
      <c r="L16" s="60" t="s">
        <v>82</v>
      </c>
      <c r="M16" s="60" t="s">
        <v>62</v>
      </c>
      <c r="N16" s="60" t="s">
        <v>45</v>
      </c>
      <c r="O16" s="60" t="s">
        <v>63</v>
      </c>
      <c r="P16" s="62" t="s">
        <v>64</v>
      </c>
      <c r="Q16" s="60" t="s">
        <v>65</v>
      </c>
      <c r="R16" s="60" t="s">
        <v>66</v>
      </c>
      <c r="S16" s="60" t="s">
        <v>67</v>
      </c>
      <c r="T16" s="60" t="s">
        <v>68</v>
      </c>
      <c r="U16" s="60" t="s">
        <v>42</v>
      </c>
      <c r="V16" s="60" t="s">
        <v>69</v>
      </c>
      <c r="W16" s="69"/>
      <c r="X16" s="60" t="s">
        <v>70</v>
      </c>
      <c r="Y16" s="60" t="s">
        <v>71</v>
      </c>
      <c r="Z16" s="60" t="s">
        <v>83</v>
      </c>
      <c r="AA16" s="60" t="s">
        <v>73</v>
      </c>
      <c r="AB16" s="60" t="s">
        <v>74</v>
      </c>
      <c r="AC16" s="2"/>
    </row>
    <row r="17" spans="1:41" s="58" customFormat="1" x14ac:dyDescent="0.2">
      <c r="A17" s="185"/>
      <c r="B17" s="186" t="s">
        <v>77</v>
      </c>
      <c r="C17" s="186" t="s">
        <v>77</v>
      </c>
      <c r="D17" s="186" t="s">
        <v>77</v>
      </c>
      <c r="E17" s="214"/>
      <c r="F17" s="214"/>
      <c r="G17" s="65">
        <f t="shared" ref="G17:G18" si="45">IF(F17=0,0,H17/F17)</f>
        <v>0</v>
      </c>
      <c r="H17" s="187"/>
      <c r="I17" s="211"/>
      <c r="J17" s="212"/>
      <c r="K17" s="302"/>
      <c r="L17" s="67">
        <f t="shared" ref="L17:L18" si="46">K17/1.21</f>
        <v>0</v>
      </c>
      <c r="M17" s="211"/>
      <c r="N17" s="211"/>
      <c r="O17" s="211" t="s">
        <v>78</v>
      </c>
      <c r="P17" s="216"/>
      <c r="Q17" s="216"/>
      <c r="R17" s="216"/>
      <c r="S17" s="216"/>
      <c r="T17" s="67">
        <f t="shared" ref="T17:T18" si="47">SUM(M17:S17)</f>
        <v>0</v>
      </c>
      <c r="U17" s="67">
        <f t="shared" ref="U17:U18" si="48">L17-M17-N17-P17-Q17-R17-S17</f>
        <v>0</v>
      </c>
      <c r="V17" s="68">
        <f t="shared" ref="V17:V18" si="49">IF(E17=0,0,U17/L17)</f>
        <v>0</v>
      </c>
      <c r="W17" s="69"/>
      <c r="X17" s="70">
        <f t="shared" ref="X17:X18" si="50">$E17*F17</f>
        <v>0</v>
      </c>
      <c r="Y17" s="70">
        <f t="shared" ref="Y17:Y18" si="51">$E17*H17</f>
        <v>0</v>
      </c>
      <c r="Z17" s="67">
        <f t="shared" ref="Z17:Z18" si="52">$E17*L17</f>
        <v>0</v>
      </c>
      <c r="AA17" s="67">
        <f t="shared" ref="AA17:AA18" si="53">$E17*T17</f>
        <v>0</v>
      </c>
      <c r="AB17" s="67">
        <f t="shared" ref="AB17:AB18" si="54">$E17*U17</f>
        <v>0</v>
      </c>
      <c r="AD17" s="58" t="str">
        <f t="shared" ref="AD17:AD18" si="55">C17&amp;B17</f>
        <v>Type invullenType invullen</v>
      </c>
      <c r="AE17" s="71">
        <f t="shared" ref="AE17:AE18" si="56">$E17*K17</f>
        <v>0</v>
      </c>
      <c r="AF17" s="71">
        <f t="shared" ref="AF17:AF18" si="57">$E17*T17</f>
        <v>0</v>
      </c>
      <c r="AG17" s="71">
        <f t="shared" ref="AG17:AG18" si="58">$E17*U17</f>
        <v>0</v>
      </c>
      <c r="AH17" s="71"/>
      <c r="AJ17" s="71">
        <f t="shared" ref="AJ17:AJ18" si="59">$E17*M17</f>
        <v>0</v>
      </c>
      <c r="AK17" s="71">
        <f t="shared" ref="AK17:AK18" si="60">$E17*N17</f>
        <v>0</v>
      </c>
      <c r="AL17" s="71">
        <f t="shared" ref="AL17:AL18" si="61">$E17*P17</f>
        <v>0</v>
      </c>
      <c r="AM17" s="71">
        <f t="shared" ref="AM17:AM18" si="62">$E17*Q17</f>
        <v>0</v>
      </c>
      <c r="AN17" s="71">
        <f t="shared" ref="AN17:AN18" si="63">$E17*R17</f>
        <v>0</v>
      </c>
      <c r="AO17" s="71">
        <f t="shared" ref="AO17:AO18" si="64">$E17*S17</f>
        <v>0</v>
      </c>
    </row>
    <row r="18" spans="1:41" s="58" customFormat="1" x14ac:dyDescent="0.2">
      <c r="A18" s="185"/>
      <c r="B18" s="186" t="s">
        <v>77</v>
      </c>
      <c r="C18" s="186" t="s">
        <v>77</v>
      </c>
      <c r="D18" s="186" t="s">
        <v>77</v>
      </c>
      <c r="E18" s="214"/>
      <c r="F18" s="214"/>
      <c r="G18" s="65">
        <f t="shared" si="45"/>
        <v>0</v>
      </c>
      <c r="H18" s="187"/>
      <c r="I18" s="211"/>
      <c r="J18" s="212"/>
      <c r="K18" s="302"/>
      <c r="L18" s="67">
        <f t="shared" si="46"/>
        <v>0</v>
      </c>
      <c r="M18" s="211"/>
      <c r="N18" s="211"/>
      <c r="O18" s="211" t="s">
        <v>78</v>
      </c>
      <c r="P18" s="216"/>
      <c r="Q18" s="216"/>
      <c r="R18" s="216"/>
      <c r="S18" s="216"/>
      <c r="T18" s="67">
        <f t="shared" si="47"/>
        <v>0</v>
      </c>
      <c r="U18" s="67">
        <f t="shared" si="48"/>
        <v>0</v>
      </c>
      <c r="V18" s="68">
        <f t="shared" si="49"/>
        <v>0</v>
      </c>
      <c r="W18" s="69"/>
      <c r="X18" s="70">
        <f t="shared" si="50"/>
        <v>0</v>
      </c>
      <c r="Y18" s="70">
        <f t="shared" si="51"/>
        <v>0</v>
      </c>
      <c r="Z18" s="67">
        <f t="shared" si="52"/>
        <v>0</v>
      </c>
      <c r="AA18" s="67">
        <f t="shared" si="53"/>
        <v>0</v>
      </c>
      <c r="AB18" s="67">
        <f t="shared" si="54"/>
        <v>0</v>
      </c>
      <c r="AD18" s="58" t="str">
        <f t="shared" si="55"/>
        <v>Type invullenType invullen</v>
      </c>
      <c r="AE18" s="71">
        <f t="shared" si="56"/>
        <v>0</v>
      </c>
      <c r="AF18" s="71">
        <f t="shared" si="57"/>
        <v>0</v>
      </c>
      <c r="AG18" s="71">
        <f t="shared" si="58"/>
        <v>0</v>
      </c>
      <c r="AH18" s="71"/>
      <c r="AJ18" s="71">
        <f t="shared" si="59"/>
        <v>0</v>
      </c>
      <c r="AK18" s="71">
        <f t="shared" si="60"/>
        <v>0</v>
      </c>
      <c r="AL18" s="71">
        <f t="shared" si="61"/>
        <v>0</v>
      </c>
      <c r="AM18" s="71">
        <f t="shared" si="62"/>
        <v>0</v>
      </c>
      <c r="AN18" s="71">
        <f t="shared" si="63"/>
        <v>0</v>
      </c>
      <c r="AO18" s="71">
        <f t="shared" si="64"/>
        <v>0</v>
      </c>
    </row>
    <row r="19" spans="1:41" s="58" customFormat="1" x14ac:dyDescent="0.2">
      <c r="A19" s="185"/>
      <c r="B19" s="186" t="s">
        <v>77</v>
      </c>
      <c r="C19" s="186" t="s">
        <v>77</v>
      </c>
      <c r="D19" s="186" t="s">
        <v>77</v>
      </c>
      <c r="E19" s="214"/>
      <c r="F19" s="214"/>
      <c r="G19" s="65">
        <f t="shared" ref="G19:G26" si="65">IF(F19=0,0,H19/F19)</f>
        <v>0</v>
      </c>
      <c r="H19" s="187"/>
      <c r="I19" s="211"/>
      <c r="J19" s="212"/>
      <c r="K19" s="302"/>
      <c r="L19" s="67">
        <f t="shared" ref="L19:L26" si="66">K19/1.21</f>
        <v>0</v>
      </c>
      <c r="M19" s="211"/>
      <c r="N19" s="211"/>
      <c r="O19" s="211" t="s">
        <v>78</v>
      </c>
      <c r="P19" s="216"/>
      <c r="Q19" s="216"/>
      <c r="R19" s="216"/>
      <c r="S19" s="216"/>
      <c r="T19" s="67">
        <f t="shared" ref="T19:T26" si="67">SUM(M19:S19)</f>
        <v>0</v>
      </c>
      <c r="U19" s="67">
        <f t="shared" ref="U19:U26" si="68">L19-M19-N19-P19-Q19-R19-S19</f>
        <v>0</v>
      </c>
      <c r="V19" s="68">
        <f t="shared" ref="V19:V26" si="69">IF(E19=0,0,U19/L19)</f>
        <v>0</v>
      </c>
      <c r="W19" s="69"/>
      <c r="X19" s="70">
        <f t="shared" ref="X19:X26" si="70">$E19*F19</f>
        <v>0</v>
      </c>
      <c r="Y19" s="70">
        <f t="shared" ref="Y19:Y26" si="71">$E19*H19</f>
        <v>0</v>
      </c>
      <c r="Z19" s="67">
        <f t="shared" ref="Z19:Z26" si="72">$E19*L19</f>
        <v>0</v>
      </c>
      <c r="AA19" s="67">
        <f t="shared" ref="AA19:AA26" si="73">$E19*T19</f>
        <v>0</v>
      </c>
      <c r="AB19" s="67">
        <f t="shared" ref="AB19:AB26" si="74">$E19*U19</f>
        <v>0</v>
      </c>
      <c r="AD19" s="58" t="str">
        <f t="shared" ref="AD19" si="75">C19&amp;B19</f>
        <v>Type invullenType invullen</v>
      </c>
      <c r="AE19" s="71">
        <f t="shared" ref="AE19" si="76">$E19*K19</f>
        <v>0</v>
      </c>
      <c r="AF19" s="71">
        <f t="shared" ref="AF19" si="77">$E19*T19</f>
        <v>0</v>
      </c>
      <c r="AG19" s="71">
        <f t="shared" ref="AG19" si="78">$E19*U19</f>
        <v>0</v>
      </c>
      <c r="AH19" s="71"/>
      <c r="AJ19" s="71">
        <f t="shared" ref="AJ19" si="79">$E19*M19</f>
        <v>0</v>
      </c>
      <c r="AK19" s="71">
        <f t="shared" ref="AK19" si="80">$E19*N19</f>
        <v>0</v>
      </c>
      <c r="AL19" s="71">
        <f t="shared" ref="AL19" si="81">$E19*P19</f>
        <v>0</v>
      </c>
      <c r="AM19" s="71">
        <f t="shared" ref="AM19" si="82">$E19*Q19</f>
        <v>0</v>
      </c>
      <c r="AN19" s="71">
        <f t="shared" ref="AN19" si="83">$E19*R19</f>
        <v>0</v>
      </c>
      <c r="AO19" s="71">
        <f t="shared" ref="AO19" si="84">$E19*S19</f>
        <v>0</v>
      </c>
    </row>
    <row r="20" spans="1:41" s="58" customFormat="1" x14ac:dyDescent="0.2">
      <c r="A20" s="185"/>
      <c r="B20" s="186" t="s">
        <v>77</v>
      </c>
      <c r="C20" s="186" t="s">
        <v>77</v>
      </c>
      <c r="D20" s="186" t="s">
        <v>77</v>
      </c>
      <c r="E20" s="214"/>
      <c r="F20" s="214"/>
      <c r="G20" s="65">
        <f t="shared" si="65"/>
        <v>0</v>
      </c>
      <c r="H20" s="187"/>
      <c r="I20" s="211"/>
      <c r="J20" s="212"/>
      <c r="K20" s="302"/>
      <c r="L20" s="67">
        <f t="shared" si="66"/>
        <v>0</v>
      </c>
      <c r="M20" s="211"/>
      <c r="N20" s="211"/>
      <c r="O20" s="211" t="s">
        <v>78</v>
      </c>
      <c r="P20" s="216"/>
      <c r="Q20" s="216"/>
      <c r="R20" s="216"/>
      <c r="S20" s="216"/>
      <c r="T20" s="67">
        <f t="shared" si="67"/>
        <v>0</v>
      </c>
      <c r="U20" s="67">
        <f t="shared" si="68"/>
        <v>0</v>
      </c>
      <c r="V20" s="68">
        <f t="shared" si="69"/>
        <v>0</v>
      </c>
      <c r="W20" s="69"/>
      <c r="X20" s="70">
        <f t="shared" si="70"/>
        <v>0</v>
      </c>
      <c r="Y20" s="70">
        <f t="shared" si="71"/>
        <v>0</v>
      </c>
      <c r="Z20" s="67">
        <f t="shared" si="72"/>
        <v>0</v>
      </c>
      <c r="AA20" s="67">
        <f t="shared" si="73"/>
        <v>0</v>
      </c>
      <c r="AB20" s="67">
        <f t="shared" si="74"/>
        <v>0</v>
      </c>
      <c r="AD20" s="58" t="str">
        <f t="shared" ref="AD20:AD26" si="85">C20&amp;B20</f>
        <v>Type invullenType invullen</v>
      </c>
      <c r="AE20" s="71">
        <f t="shared" ref="AE20:AE26" si="86">$E20*K20</f>
        <v>0</v>
      </c>
      <c r="AF20" s="71">
        <f t="shared" ref="AF20:AF26" si="87">$E20*T20</f>
        <v>0</v>
      </c>
      <c r="AG20" s="71">
        <f t="shared" ref="AG20:AG26" si="88">$E20*U20</f>
        <v>0</v>
      </c>
      <c r="AH20" s="71"/>
      <c r="AJ20" s="71">
        <f t="shared" ref="AJ20:AJ26" si="89">$E20*M20</f>
        <v>0</v>
      </c>
      <c r="AK20" s="71">
        <f t="shared" ref="AK20:AK26" si="90">$E20*N20</f>
        <v>0</v>
      </c>
      <c r="AL20" s="71">
        <f t="shared" ref="AL20:AL26" si="91">$E20*P20</f>
        <v>0</v>
      </c>
      <c r="AM20" s="71">
        <f t="shared" ref="AM20:AM26" si="92">$E20*Q20</f>
        <v>0</v>
      </c>
      <c r="AN20" s="71">
        <f t="shared" ref="AN20:AN26" si="93">$E20*R20</f>
        <v>0</v>
      </c>
      <c r="AO20" s="71">
        <f t="shared" ref="AO20:AO26" si="94">$E20*S20</f>
        <v>0</v>
      </c>
    </row>
    <row r="21" spans="1:41" s="58" customFormat="1" x14ac:dyDescent="0.2">
      <c r="A21" s="185"/>
      <c r="B21" s="186" t="s">
        <v>77</v>
      </c>
      <c r="C21" s="186" t="s">
        <v>77</v>
      </c>
      <c r="D21" s="186" t="s">
        <v>77</v>
      </c>
      <c r="E21" s="214"/>
      <c r="F21" s="214"/>
      <c r="G21" s="65">
        <f t="shared" si="65"/>
        <v>0</v>
      </c>
      <c r="H21" s="187"/>
      <c r="I21" s="211"/>
      <c r="J21" s="212"/>
      <c r="K21" s="302"/>
      <c r="L21" s="67">
        <f t="shared" si="66"/>
        <v>0</v>
      </c>
      <c r="M21" s="211"/>
      <c r="N21" s="211"/>
      <c r="O21" s="211" t="s">
        <v>78</v>
      </c>
      <c r="P21" s="216"/>
      <c r="Q21" s="216"/>
      <c r="R21" s="216"/>
      <c r="S21" s="216"/>
      <c r="T21" s="67">
        <f t="shared" si="67"/>
        <v>0</v>
      </c>
      <c r="U21" s="67">
        <f t="shared" si="68"/>
        <v>0</v>
      </c>
      <c r="V21" s="68">
        <f t="shared" si="69"/>
        <v>0</v>
      </c>
      <c r="W21" s="69"/>
      <c r="X21" s="70">
        <f t="shared" si="70"/>
        <v>0</v>
      </c>
      <c r="Y21" s="70">
        <f t="shared" si="71"/>
        <v>0</v>
      </c>
      <c r="Z21" s="67">
        <f t="shared" si="72"/>
        <v>0</v>
      </c>
      <c r="AA21" s="67">
        <f t="shared" si="73"/>
        <v>0</v>
      </c>
      <c r="AB21" s="67">
        <f t="shared" si="74"/>
        <v>0</v>
      </c>
      <c r="AD21" s="58" t="str">
        <f t="shared" si="85"/>
        <v>Type invullenType invullen</v>
      </c>
      <c r="AE21" s="71">
        <f t="shared" si="86"/>
        <v>0</v>
      </c>
      <c r="AF21" s="71">
        <f t="shared" si="87"/>
        <v>0</v>
      </c>
      <c r="AG21" s="71">
        <f t="shared" si="88"/>
        <v>0</v>
      </c>
      <c r="AH21" s="71"/>
      <c r="AJ21" s="71">
        <f t="shared" si="89"/>
        <v>0</v>
      </c>
      <c r="AK21" s="71">
        <f t="shared" si="90"/>
        <v>0</v>
      </c>
      <c r="AL21" s="71">
        <f t="shared" si="91"/>
        <v>0</v>
      </c>
      <c r="AM21" s="71">
        <f t="shared" si="92"/>
        <v>0</v>
      </c>
      <c r="AN21" s="71">
        <f t="shared" si="93"/>
        <v>0</v>
      </c>
      <c r="AO21" s="71">
        <f t="shared" si="94"/>
        <v>0</v>
      </c>
    </row>
    <row r="22" spans="1:41" s="58" customFormat="1" x14ac:dyDescent="0.2">
      <c r="A22" s="185"/>
      <c r="B22" s="186" t="s">
        <v>77</v>
      </c>
      <c r="C22" s="186" t="s">
        <v>77</v>
      </c>
      <c r="D22" s="186" t="s">
        <v>77</v>
      </c>
      <c r="E22" s="214"/>
      <c r="F22" s="214"/>
      <c r="G22" s="65">
        <f t="shared" si="65"/>
        <v>0</v>
      </c>
      <c r="H22" s="187"/>
      <c r="I22" s="211"/>
      <c r="J22" s="212"/>
      <c r="K22" s="302"/>
      <c r="L22" s="67">
        <f t="shared" si="66"/>
        <v>0</v>
      </c>
      <c r="M22" s="211"/>
      <c r="N22" s="211"/>
      <c r="O22" s="211" t="s">
        <v>78</v>
      </c>
      <c r="P22" s="216"/>
      <c r="Q22" s="216"/>
      <c r="R22" s="216"/>
      <c r="S22" s="216"/>
      <c r="T22" s="67">
        <f t="shared" si="67"/>
        <v>0</v>
      </c>
      <c r="U22" s="67">
        <f t="shared" si="68"/>
        <v>0</v>
      </c>
      <c r="V22" s="68">
        <f t="shared" si="69"/>
        <v>0</v>
      </c>
      <c r="W22" s="69"/>
      <c r="X22" s="70">
        <f t="shared" si="70"/>
        <v>0</v>
      </c>
      <c r="Y22" s="70">
        <f t="shared" si="71"/>
        <v>0</v>
      </c>
      <c r="Z22" s="67">
        <f t="shared" si="72"/>
        <v>0</v>
      </c>
      <c r="AA22" s="67">
        <f t="shared" si="73"/>
        <v>0</v>
      </c>
      <c r="AB22" s="67">
        <f t="shared" si="74"/>
        <v>0</v>
      </c>
      <c r="AD22" s="58" t="str">
        <f t="shared" si="85"/>
        <v>Type invullenType invullen</v>
      </c>
      <c r="AE22" s="71">
        <f t="shared" si="86"/>
        <v>0</v>
      </c>
      <c r="AF22" s="71">
        <f t="shared" si="87"/>
        <v>0</v>
      </c>
      <c r="AG22" s="71">
        <f t="shared" si="88"/>
        <v>0</v>
      </c>
      <c r="AH22" s="71"/>
      <c r="AJ22" s="71">
        <f t="shared" si="89"/>
        <v>0</v>
      </c>
      <c r="AK22" s="71">
        <f t="shared" si="90"/>
        <v>0</v>
      </c>
      <c r="AL22" s="71">
        <f t="shared" si="91"/>
        <v>0</v>
      </c>
      <c r="AM22" s="71">
        <f t="shared" si="92"/>
        <v>0</v>
      </c>
      <c r="AN22" s="71">
        <f t="shared" si="93"/>
        <v>0</v>
      </c>
      <c r="AO22" s="71">
        <f t="shared" si="94"/>
        <v>0</v>
      </c>
    </row>
    <row r="23" spans="1:41" s="58" customFormat="1" x14ac:dyDescent="0.2">
      <c r="A23" s="185"/>
      <c r="B23" s="186" t="s">
        <v>77</v>
      </c>
      <c r="C23" s="186" t="s">
        <v>77</v>
      </c>
      <c r="D23" s="186" t="s">
        <v>77</v>
      </c>
      <c r="E23" s="214"/>
      <c r="F23" s="214"/>
      <c r="G23" s="65">
        <f t="shared" si="65"/>
        <v>0</v>
      </c>
      <c r="H23" s="187"/>
      <c r="I23" s="211"/>
      <c r="J23" s="212"/>
      <c r="K23" s="302"/>
      <c r="L23" s="67">
        <f t="shared" si="66"/>
        <v>0</v>
      </c>
      <c r="M23" s="211"/>
      <c r="N23" s="211"/>
      <c r="O23" s="211" t="s">
        <v>78</v>
      </c>
      <c r="P23" s="216"/>
      <c r="Q23" s="216"/>
      <c r="R23" s="216"/>
      <c r="S23" s="216"/>
      <c r="T23" s="67">
        <f t="shared" si="67"/>
        <v>0</v>
      </c>
      <c r="U23" s="67">
        <f t="shared" si="68"/>
        <v>0</v>
      </c>
      <c r="V23" s="68">
        <f t="shared" si="69"/>
        <v>0</v>
      </c>
      <c r="W23" s="69"/>
      <c r="X23" s="70">
        <f t="shared" si="70"/>
        <v>0</v>
      </c>
      <c r="Y23" s="70">
        <f t="shared" si="71"/>
        <v>0</v>
      </c>
      <c r="Z23" s="67">
        <f t="shared" si="72"/>
        <v>0</v>
      </c>
      <c r="AA23" s="67">
        <f t="shared" si="73"/>
        <v>0</v>
      </c>
      <c r="AB23" s="67">
        <f t="shared" si="74"/>
        <v>0</v>
      </c>
      <c r="AD23" s="58" t="str">
        <f t="shared" si="85"/>
        <v>Type invullenType invullen</v>
      </c>
      <c r="AE23" s="71">
        <f t="shared" si="86"/>
        <v>0</v>
      </c>
      <c r="AF23" s="71">
        <f t="shared" si="87"/>
        <v>0</v>
      </c>
      <c r="AG23" s="71">
        <f t="shared" si="88"/>
        <v>0</v>
      </c>
      <c r="AH23" s="71"/>
      <c r="AJ23" s="71">
        <f t="shared" si="89"/>
        <v>0</v>
      </c>
      <c r="AK23" s="71">
        <f t="shared" si="90"/>
        <v>0</v>
      </c>
      <c r="AL23" s="71">
        <f t="shared" si="91"/>
        <v>0</v>
      </c>
      <c r="AM23" s="71">
        <f t="shared" si="92"/>
        <v>0</v>
      </c>
      <c r="AN23" s="71">
        <f t="shared" si="93"/>
        <v>0</v>
      </c>
      <c r="AO23" s="71">
        <f t="shared" si="94"/>
        <v>0</v>
      </c>
    </row>
    <row r="24" spans="1:41" s="58" customFormat="1" x14ac:dyDescent="0.2">
      <c r="A24" s="185"/>
      <c r="B24" s="186" t="s">
        <v>77</v>
      </c>
      <c r="C24" s="186" t="s">
        <v>77</v>
      </c>
      <c r="D24" s="186" t="s">
        <v>77</v>
      </c>
      <c r="E24" s="214"/>
      <c r="F24" s="214"/>
      <c r="G24" s="65">
        <f t="shared" si="65"/>
        <v>0</v>
      </c>
      <c r="H24" s="187"/>
      <c r="I24" s="211"/>
      <c r="J24" s="212"/>
      <c r="K24" s="302"/>
      <c r="L24" s="67">
        <f t="shared" si="66"/>
        <v>0</v>
      </c>
      <c r="M24" s="211"/>
      <c r="N24" s="211"/>
      <c r="O24" s="211" t="s">
        <v>78</v>
      </c>
      <c r="P24" s="216"/>
      <c r="Q24" s="216"/>
      <c r="R24" s="216"/>
      <c r="S24" s="216"/>
      <c r="T24" s="67">
        <f t="shared" si="67"/>
        <v>0</v>
      </c>
      <c r="U24" s="67">
        <f t="shared" si="68"/>
        <v>0</v>
      </c>
      <c r="V24" s="68">
        <f t="shared" si="69"/>
        <v>0</v>
      </c>
      <c r="W24" s="69"/>
      <c r="X24" s="70">
        <f t="shared" si="70"/>
        <v>0</v>
      </c>
      <c r="Y24" s="70">
        <f t="shared" si="71"/>
        <v>0</v>
      </c>
      <c r="Z24" s="67">
        <f t="shared" si="72"/>
        <v>0</v>
      </c>
      <c r="AA24" s="67">
        <f t="shared" si="73"/>
        <v>0</v>
      </c>
      <c r="AB24" s="67">
        <f t="shared" si="74"/>
        <v>0</v>
      </c>
      <c r="AD24" s="58" t="str">
        <f t="shared" si="85"/>
        <v>Type invullenType invullen</v>
      </c>
      <c r="AE24" s="71">
        <f t="shared" si="86"/>
        <v>0</v>
      </c>
      <c r="AF24" s="71">
        <f t="shared" si="87"/>
        <v>0</v>
      </c>
      <c r="AG24" s="71">
        <f t="shared" si="88"/>
        <v>0</v>
      </c>
      <c r="AH24" s="71"/>
      <c r="AJ24" s="71">
        <f t="shared" si="89"/>
        <v>0</v>
      </c>
      <c r="AK24" s="71">
        <f t="shared" si="90"/>
        <v>0</v>
      </c>
      <c r="AL24" s="71">
        <f t="shared" si="91"/>
        <v>0</v>
      </c>
      <c r="AM24" s="71">
        <f t="shared" si="92"/>
        <v>0</v>
      </c>
      <c r="AN24" s="71">
        <f t="shared" si="93"/>
        <v>0</v>
      </c>
      <c r="AO24" s="71">
        <f t="shared" si="94"/>
        <v>0</v>
      </c>
    </row>
    <row r="25" spans="1:41" s="58" customFormat="1" x14ac:dyDescent="0.2">
      <c r="A25" s="185"/>
      <c r="B25" s="186" t="s">
        <v>77</v>
      </c>
      <c r="C25" s="186" t="s">
        <v>77</v>
      </c>
      <c r="D25" s="186" t="s">
        <v>77</v>
      </c>
      <c r="E25" s="214"/>
      <c r="F25" s="214"/>
      <c r="G25" s="65">
        <f t="shared" si="65"/>
        <v>0</v>
      </c>
      <c r="H25" s="187"/>
      <c r="I25" s="211"/>
      <c r="J25" s="212"/>
      <c r="K25" s="302"/>
      <c r="L25" s="67">
        <f t="shared" si="66"/>
        <v>0</v>
      </c>
      <c r="M25" s="211"/>
      <c r="N25" s="211"/>
      <c r="O25" s="211" t="s">
        <v>78</v>
      </c>
      <c r="P25" s="216"/>
      <c r="Q25" s="216"/>
      <c r="R25" s="216"/>
      <c r="S25" s="216"/>
      <c r="T25" s="67">
        <f t="shared" si="67"/>
        <v>0</v>
      </c>
      <c r="U25" s="67">
        <f t="shared" si="68"/>
        <v>0</v>
      </c>
      <c r="V25" s="68">
        <f t="shared" si="69"/>
        <v>0</v>
      </c>
      <c r="W25" s="69"/>
      <c r="X25" s="70">
        <f t="shared" si="70"/>
        <v>0</v>
      </c>
      <c r="Y25" s="70">
        <f t="shared" si="71"/>
        <v>0</v>
      </c>
      <c r="Z25" s="67">
        <f t="shared" si="72"/>
        <v>0</v>
      </c>
      <c r="AA25" s="67">
        <f t="shared" si="73"/>
        <v>0</v>
      </c>
      <c r="AB25" s="67">
        <f t="shared" si="74"/>
        <v>0</v>
      </c>
      <c r="AD25" s="58" t="str">
        <f t="shared" si="85"/>
        <v>Type invullenType invullen</v>
      </c>
      <c r="AE25" s="71">
        <f t="shared" si="86"/>
        <v>0</v>
      </c>
      <c r="AF25" s="71">
        <f t="shared" si="87"/>
        <v>0</v>
      </c>
      <c r="AG25" s="71">
        <f t="shared" si="88"/>
        <v>0</v>
      </c>
      <c r="AH25" s="71"/>
      <c r="AJ25" s="71">
        <f t="shared" si="89"/>
        <v>0</v>
      </c>
      <c r="AK25" s="71">
        <f t="shared" si="90"/>
        <v>0</v>
      </c>
      <c r="AL25" s="71">
        <f t="shared" si="91"/>
        <v>0</v>
      </c>
      <c r="AM25" s="71">
        <f t="shared" si="92"/>
        <v>0</v>
      </c>
      <c r="AN25" s="71">
        <f t="shared" si="93"/>
        <v>0</v>
      </c>
      <c r="AO25" s="71">
        <f t="shared" si="94"/>
        <v>0</v>
      </c>
    </row>
    <row r="26" spans="1:41" s="58" customFormat="1" x14ac:dyDescent="0.2">
      <c r="A26" s="185"/>
      <c r="B26" s="186" t="s">
        <v>77</v>
      </c>
      <c r="C26" s="186" t="s">
        <v>77</v>
      </c>
      <c r="D26" s="186" t="s">
        <v>77</v>
      </c>
      <c r="E26" s="214"/>
      <c r="F26" s="214"/>
      <c r="G26" s="65">
        <f t="shared" si="65"/>
        <v>0</v>
      </c>
      <c r="H26" s="187"/>
      <c r="I26" s="211"/>
      <c r="J26" s="212"/>
      <c r="K26" s="302"/>
      <c r="L26" s="67">
        <f t="shared" si="66"/>
        <v>0</v>
      </c>
      <c r="M26" s="211"/>
      <c r="N26" s="211"/>
      <c r="O26" s="211" t="s">
        <v>78</v>
      </c>
      <c r="P26" s="216"/>
      <c r="Q26" s="216"/>
      <c r="R26" s="216"/>
      <c r="S26" s="216"/>
      <c r="T26" s="67">
        <f t="shared" si="67"/>
        <v>0</v>
      </c>
      <c r="U26" s="67">
        <f t="shared" si="68"/>
        <v>0</v>
      </c>
      <c r="V26" s="68">
        <f t="shared" si="69"/>
        <v>0</v>
      </c>
      <c r="W26" s="69"/>
      <c r="X26" s="70">
        <f t="shared" si="70"/>
        <v>0</v>
      </c>
      <c r="Y26" s="70">
        <f t="shared" si="71"/>
        <v>0</v>
      </c>
      <c r="Z26" s="67">
        <f t="shared" si="72"/>
        <v>0</v>
      </c>
      <c r="AA26" s="67">
        <f t="shared" si="73"/>
        <v>0</v>
      </c>
      <c r="AB26" s="67">
        <f t="shared" si="74"/>
        <v>0</v>
      </c>
      <c r="AD26" s="58" t="str">
        <f t="shared" si="85"/>
        <v>Type invullenType invullen</v>
      </c>
      <c r="AE26" s="71">
        <f t="shared" si="86"/>
        <v>0</v>
      </c>
      <c r="AF26" s="71">
        <f t="shared" si="87"/>
        <v>0</v>
      </c>
      <c r="AG26" s="71">
        <f t="shared" si="88"/>
        <v>0</v>
      </c>
      <c r="AH26" s="71"/>
      <c r="AJ26" s="71">
        <f t="shared" si="89"/>
        <v>0</v>
      </c>
      <c r="AK26" s="71">
        <f t="shared" si="90"/>
        <v>0</v>
      </c>
      <c r="AL26" s="71">
        <f t="shared" si="91"/>
        <v>0</v>
      </c>
      <c r="AM26" s="71">
        <f t="shared" si="92"/>
        <v>0</v>
      </c>
      <c r="AN26" s="71">
        <f t="shared" si="93"/>
        <v>0</v>
      </c>
      <c r="AO26" s="71">
        <f t="shared" si="94"/>
        <v>0</v>
      </c>
    </row>
    <row r="27" spans="1:41" s="58" customFormat="1" x14ac:dyDescent="0.2">
      <c r="A27" s="24"/>
      <c r="B27" s="25"/>
      <c r="C27" s="25"/>
      <c r="D27" s="25"/>
      <c r="E27" s="291"/>
      <c r="F27" s="293"/>
      <c r="G27" s="72"/>
      <c r="H27" s="73"/>
      <c r="I27" s="74"/>
      <c r="J27" s="75"/>
      <c r="K27" s="67"/>
      <c r="L27" s="67"/>
      <c r="M27" s="67"/>
      <c r="N27" s="74"/>
      <c r="O27" s="74"/>
      <c r="P27" s="67"/>
      <c r="Q27" s="67"/>
      <c r="R27" s="67"/>
      <c r="S27" s="67"/>
      <c r="T27" s="67"/>
      <c r="U27" s="67"/>
      <c r="V27" s="68"/>
      <c r="W27" s="69"/>
      <c r="X27" s="70"/>
      <c r="Y27" s="70"/>
      <c r="Z27" s="67"/>
      <c r="AA27" s="67"/>
      <c r="AB27" s="67"/>
      <c r="AE27" s="71"/>
      <c r="AF27" s="71"/>
      <c r="AG27" s="71"/>
      <c r="AH27" s="71"/>
      <c r="AJ27" s="71"/>
    </row>
    <row r="28" spans="1:41" ht="16" thickBot="1" x14ac:dyDescent="0.25">
      <c r="A28" s="26" t="s">
        <v>79</v>
      </c>
      <c r="B28" s="27"/>
      <c r="C28" s="27"/>
      <c r="D28" s="27"/>
      <c r="E28" s="292">
        <f>SUM(E17:E27)</f>
        <v>0</v>
      </c>
      <c r="F28" s="294"/>
      <c r="G28" s="78"/>
      <c r="H28" s="82"/>
      <c r="I28" s="79"/>
      <c r="J28" s="79"/>
      <c r="K28" s="80">
        <f>SUMPRODUCT(K$17:K$27,$E$17:$E$27)</f>
        <v>0</v>
      </c>
      <c r="L28" s="80">
        <f>SUMPRODUCT(L$17:L$27,$E$17:$E$27)</f>
        <v>0</v>
      </c>
      <c r="M28" s="80">
        <f>SUMPRODUCT(M$17:M$27,$E$17:$E$27)</f>
        <v>0</v>
      </c>
      <c r="N28" s="80">
        <f>SUMPRODUCT(N$17:N$27,$E$17:$E$27)</f>
        <v>0</v>
      </c>
      <c r="O28" s="80"/>
      <c r="P28" s="80">
        <f t="shared" ref="P28:U28" si="95">SUMPRODUCT(P$17:P$27,$E$17:$E$27)</f>
        <v>0</v>
      </c>
      <c r="Q28" s="80">
        <f t="shared" si="95"/>
        <v>0</v>
      </c>
      <c r="R28" s="80">
        <f t="shared" si="95"/>
        <v>0</v>
      </c>
      <c r="S28" s="80">
        <f t="shared" si="95"/>
        <v>0</v>
      </c>
      <c r="T28" s="80">
        <f t="shared" si="95"/>
        <v>0</v>
      </c>
      <c r="U28" s="80">
        <f t="shared" si="95"/>
        <v>0</v>
      </c>
      <c r="V28" s="81"/>
      <c r="W28" s="69"/>
      <c r="X28" s="77">
        <f>SUM(X17:X27)</f>
        <v>0</v>
      </c>
      <c r="Y28" s="77">
        <f>SUM(Y17:Y27)</f>
        <v>0</v>
      </c>
      <c r="Z28" s="80">
        <f>SUM(Z17:Z27)</f>
        <v>0</v>
      </c>
      <c r="AA28" s="80">
        <f>SUM(AA17:AA27)</f>
        <v>0</v>
      </c>
      <c r="AB28" s="80">
        <f>SUM(AB17:AB27)</f>
        <v>0</v>
      </c>
      <c r="AE28" s="83">
        <f>SUM(AE17:AE27)</f>
        <v>0</v>
      </c>
    </row>
    <row r="29" spans="1:41" ht="16" thickTop="1" x14ac:dyDescent="0.2">
      <c r="H29" s="59"/>
      <c r="L29" s="83"/>
      <c r="W29" s="69"/>
    </row>
    <row r="30" spans="1:41" x14ac:dyDescent="0.2">
      <c r="A30" s="3" t="str">
        <f>"Versie "&amp;Titelblad!$B$11</f>
        <v>Versie 1.0</v>
      </c>
      <c r="W30" s="69"/>
    </row>
    <row r="31" spans="1:41" x14ac:dyDescent="0.2">
      <c r="A31" s="3" t="str">
        <f>"Versiedatum: "&amp;TEXT(Titelblad!$B$12,"dd mmmm jjjj")</f>
        <v>Versiedatum: datum</v>
      </c>
      <c r="W31" s="69"/>
    </row>
    <row r="32" spans="1:41" x14ac:dyDescent="0.2">
      <c r="W32" s="69"/>
    </row>
    <row r="33" spans="2:8" x14ac:dyDescent="0.2">
      <c r="B33" s="337" t="s">
        <v>84</v>
      </c>
      <c r="C33" s="337"/>
      <c r="D33" s="337"/>
      <c r="E33" s="337"/>
      <c r="F33" s="337"/>
      <c r="G33" s="337"/>
      <c r="H33" s="337"/>
    </row>
    <row r="204" spans="1:46" s="58" customFormat="1" hidden="1" x14ac:dyDescent="0.2">
      <c r="A204" s="23" t="s">
        <v>85</v>
      </c>
      <c r="B204" s="3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  <c r="AH204" s="66"/>
      <c r="AI204" s="66"/>
      <c r="AJ204" s="66"/>
      <c r="AK204" s="66"/>
      <c r="AL204" s="66"/>
      <c r="AM204" s="66"/>
      <c r="AN204" s="66"/>
      <c r="AO204" s="66"/>
      <c r="AP204" s="66"/>
      <c r="AQ204" s="66"/>
      <c r="AR204" s="66"/>
      <c r="AS204" s="66"/>
      <c r="AT204" s="66"/>
    </row>
    <row r="205" spans="1:46" s="58" customFormat="1" hidden="1" x14ac:dyDescent="0.2">
      <c r="A205" s="185" t="s">
        <v>86</v>
      </c>
      <c r="B205" s="186" t="s">
        <v>77</v>
      </c>
      <c r="C205" s="186" t="s">
        <v>77</v>
      </c>
      <c r="D205" s="186" t="s">
        <v>77</v>
      </c>
      <c r="E205" s="214">
        <v>0</v>
      </c>
      <c r="F205" s="214">
        <v>0</v>
      </c>
      <c r="G205" s="65">
        <f>IF(F205=0,0,H205/F205)</f>
        <v>0</v>
      </c>
      <c r="H205" s="187">
        <v>0</v>
      </c>
      <c r="I205" s="211">
        <v>0</v>
      </c>
      <c r="J205" s="212">
        <v>0</v>
      </c>
      <c r="K205" s="302">
        <f>IF(J205=0,0,IF(E205=0,0,I205*12/J205))</f>
        <v>0</v>
      </c>
      <c r="L205" s="67">
        <f t="shared" ref="L205" si="96">IF(E205=0,0,K205/1.21)</f>
        <v>0</v>
      </c>
      <c r="M205" s="211">
        <v>0</v>
      </c>
      <c r="N205" s="211">
        <v>0</v>
      </c>
      <c r="O205" s="211" t="s">
        <v>78</v>
      </c>
      <c r="P205" s="216">
        <v>0</v>
      </c>
      <c r="Q205" s="216">
        <v>0</v>
      </c>
      <c r="R205" s="216">
        <v>0</v>
      </c>
      <c r="S205" s="216">
        <v>0</v>
      </c>
      <c r="T205" s="67">
        <f t="shared" ref="T205" si="97">SUM(M205:S205)</f>
        <v>0</v>
      </c>
      <c r="U205" s="67">
        <f t="shared" ref="U205" si="98">L205-M205-N205-P205-Q205-R205-S205</f>
        <v>0</v>
      </c>
      <c r="V205" s="68">
        <f t="shared" ref="V205" si="99">IF(E205=0,0,U205/L205)</f>
        <v>0</v>
      </c>
      <c r="W205" s="69"/>
      <c r="X205" s="70">
        <f t="shared" ref="X205" si="100">$E205*F205</f>
        <v>0</v>
      </c>
      <c r="Y205" s="70">
        <f t="shared" ref="Y205" si="101">$E205*H205</f>
        <v>0</v>
      </c>
      <c r="Z205" s="67">
        <f t="shared" ref="Z205" si="102">$E205*L205</f>
        <v>0</v>
      </c>
      <c r="AA205" s="67">
        <f t="shared" ref="AA205" si="103">$E205*T205</f>
        <v>0</v>
      </c>
      <c r="AB205" s="67">
        <f t="shared" ref="AB205" si="104">$E205*U205</f>
        <v>0</v>
      </c>
      <c r="AD205" s="58" t="str">
        <f t="shared" ref="AD205" si="105">C205&amp;B205</f>
        <v>Type invullenType invullen</v>
      </c>
      <c r="AE205" s="71">
        <f t="shared" ref="AE205" si="106">$E205*K205</f>
        <v>0</v>
      </c>
      <c r="AF205" s="71">
        <f t="shared" ref="AF205" si="107">$E205*T205</f>
        <v>0</v>
      </c>
      <c r="AG205" s="71">
        <f t="shared" ref="AG205" si="108">$E205*U205</f>
        <v>0</v>
      </c>
      <c r="AH205" s="71">
        <f>$E205*I205*12</f>
        <v>0</v>
      </c>
      <c r="AI205" s="161"/>
      <c r="AJ205" s="71">
        <f>$E205*M205</f>
        <v>0</v>
      </c>
      <c r="AK205" s="71">
        <f>$E205*N205</f>
        <v>0</v>
      </c>
      <c r="AL205" s="71">
        <f>$E205*P205</f>
        <v>0</v>
      </c>
      <c r="AM205" s="71">
        <f>$E205*Q205</f>
        <v>0</v>
      </c>
      <c r="AN205" s="71">
        <f>$E205*R205</f>
        <v>0</v>
      </c>
      <c r="AO205" s="71">
        <f>$E205*S205</f>
        <v>0</v>
      </c>
    </row>
    <row r="206" spans="1:46" hidden="1" x14ac:dyDescent="0.2">
      <c r="F206" s="184"/>
    </row>
    <row r="207" spans="1:46" hidden="1" x14ac:dyDescent="0.2">
      <c r="A207" s="3" t="s">
        <v>87</v>
      </c>
      <c r="F207" s="184"/>
    </row>
    <row r="208" spans="1:46" s="58" customFormat="1" hidden="1" x14ac:dyDescent="0.2">
      <c r="A208" s="185" t="s">
        <v>86</v>
      </c>
      <c r="B208" s="186" t="s">
        <v>77</v>
      </c>
      <c r="C208" s="186" t="s">
        <v>77</v>
      </c>
      <c r="D208" s="186" t="s">
        <v>77</v>
      </c>
      <c r="E208" s="214">
        <v>0</v>
      </c>
      <c r="F208" s="214">
        <v>0</v>
      </c>
      <c r="G208" s="65">
        <f t="shared" ref="G208" si="109">IF(F208=0,0,H208/F208)</f>
        <v>0</v>
      </c>
      <c r="H208" s="187">
        <v>0</v>
      </c>
      <c r="I208" s="211"/>
      <c r="J208" s="212"/>
      <c r="K208" s="302">
        <v>0</v>
      </c>
      <c r="L208" s="67">
        <f>K208/1.21</f>
        <v>0</v>
      </c>
      <c r="M208" s="211">
        <v>0</v>
      </c>
      <c r="N208" s="211">
        <v>0</v>
      </c>
      <c r="O208" s="211" t="s">
        <v>78</v>
      </c>
      <c r="P208" s="216">
        <f>M208*0.05</f>
        <v>0</v>
      </c>
      <c r="Q208" s="216">
        <v>0</v>
      </c>
      <c r="R208" s="216">
        <f>(M208+P208)*0.05</f>
        <v>0</v>
      </c>
      <c r="S208" s="216">
        <f>L208*0.07</f>
        <v>0</v>
      </c>
      <c r="T208" s="67">
        <f>SUM(M208:S208)</f>
        <v>0</v>
      </c>
      <c r="U208" s="67">
        <f>L208-M208-N208-P208-Q208-R208-S208</f>
        <v>0</v>
      </c>
      <c r="V208" s="68">
        <f>IF(E208=0,0,U208/L208)</f>
        <v>0</v>
      </c>
      <c r="W208" s="69"/>
      <c r="X208" s="70">
        <f>$E208*F208</f>
        <v>0</v>
      </c>
      <c r="Y208" s="70">
        <f>$E208*H208</f>
        <v>0</v>
      </c>
      <c r="Z208" s="67">
        <f>$E208*L208</f>
        <v>0</v>
      </c>
      <c r="AA208" s="67">
        <f t="shared" ref="AA208" si="110">$E208*T208</f>
        <v>0</v>
      </c>
      <c r="AB208" s="67">
        <f t="shared" ref="AB208" si="111">$E208*U208</f>
        <v>0</v>
      </c>
      <c r="AD208" s="58" t="str">
        <f>C208&amp;B208</f>
        <v>Type invullenType invullen</v>
      </c>
      <c r="AE208" s="71">
        <f>$E208*K208</f>
        <v>0</v>
      </c>
      <c r="AF208" s="71">
        <f t="shared" ref="AF208" si="112">$E208*T208</f>
        <v>0</v>
      </c>
      <c r="AG208" s="71">
        <f t="shared" ref="AG208" si="113">$E208*U208</f>
        <v>0</v>
      </c>
      <c r="AH208" s="71"/>
      <c r="AJ208" s="71">
        <f t="shared" ref="AJ208" si="114">$E208*M208</f>
        <v>0</v>
      </c>
      <c r="AK208" s="71">
        <f t="shared" ref="AK208" si="115">$E208*N208</f>
        <v>0</v>
      </c>
      <c r="AL208" s="71">
        <f t="shared" ref="AL208" si="116">$E208*P208</f>
        <v>0</v>
      </c>
      <c r="AM208" s="71">
        <f t="shared" ref="AM208" si="117">$E208*Q208</f>
        <v>0</v>
      </c>
      <c r="AN208" s="71">
        <f t="shared" ref="AN208" si="118">$E208*R208</f>
        <v>0</v>
      </c>
      <c r="AO208" s="71">
        <f t="shared" ref="AO208" si="119">$E208*S208</f>
        <v>0</v>
      </c>
    </row>
  </sheetData>
  <sheetProtection formatColumns="0" formatRows="0"/>
  <mergeCells count="1">
    <mergeCell ref="B33:H33"/>
  </mergeCells>
  <pageMargins left="0.7" right="0.7" top="0.75" bottom="0.75" header="0.3" footer="0.3"/>
  <pageSetup paperSize="8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3D57368-9DB6-4389-8F18-C98B88F850A6}">
          <x14:formula1>
            <xm:f>hulp!$A$5:$A$8</xm:f>
          </x14:formula1>
          <xm:sqref>B205 B6:B11</xm:sqref>
        </x14:dataValidation>
        <x14:dataValidation type="list" allowBlank="1" showInputMessage="1" showErrorMessage="1" xr:uid="{4DB98A73-E096-47EC-91E0-6FF5767FE5CE}">
          <x14:formula1>
            <xm:f>hulp!$D$5:$D$7</xm:f>
          </x14:formula1>
          <xm:sqref>C208 C17:C26 C205 C6:C11</xm:sqref>
        </x14:dataValidation>
        <x14:dataValidation type="list" allowBlank="1" showInputMessage="1" showErrorMessage="1" xr:uid="{60C099D2-E970-4DE4-9623-150DF475A8FE}">
          <x14:formula1>
            <xm:f>hulp!$E$5:$E$14</xm:f>
          </x14:formula1>
          <xm:sqref>D205 D17:D26 D208 D6:D11</xm:sqref>
        </x14:dataValidation>
        <x14:dataValidation type="list" allowBlank="1" showInputMessage="1" showErrorMessage="1" xr:uid="{FA8596F1-9E96-4B75-A811-5F6590C675FA}">
          <x14:formula1>
            <xm:f>hulp!$A$10:$A$15</xm:f>
          </x14:formula1>
          <xm:sqref>B208 B17:B26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3825-7D5D-48C8-B9FB-A9DFF2FAF41D}">
  <sheetPr codeName="Blad5">
    <tabColor rgb="FF92D050"/>
    <pageSetUpPr fitToPage="1"/>
  </sheetPr>
  <dimension ref="A1:CJ210"/>
  <sheetViews>
    <sheetView topLeftCell="A5" workbookViewId="0">
      <selection activeCell="A19" sqref="A19"/>
    </sheetView>
  </sheetViews>
  <sheetFormatPr baseColWidth="10" defaultColWidth="8.83203125" defaultRowHeight="15" x14ac:dyDescent="0.2"/>
  <cols>
    <col min="1" max="1" width="22.5" style="3" customWidth="1"/>
    <col min="2" max="2" width="19.5" style="3" bestFit="1" customWidth="1"/>
    <col min="3" max="3" width="15.83203125" style="3" customWidth="1"/>
    <col min="4" max="4" width="13" style="2" bestFit="1" customWidth="1"/>
    <col min="5" max="5" width="8" style="2" customWidth="1"/>
    <col min="6" max="6" width="14.5" style="2" bestFit="1" customWidth="1"/>
    <col min="7" max="7" width="12.5" style="2" customWidth="1"/>
    <col min="8" max="8" width="12.5" style="3" bestFit="1" customWidth="1"/>
    <col min="9" max="9" width="13.5" style="2" customWidth="1"/>
    <col min="10" max="10" width="6.5" style="2" bestFit="1" customWidth="1"/>
    <col min="11" max="11" width="12.5" style="57" bestFit="1" customWidth="1"/>
    <col min="12" max="12" width="14.5" style="2" customWidth="1"/>
    <col min="13" max="13" width="12.5" style="2" bestFit="1" customWidth="1"/>
    <col min="14" max="14" width="14.5" style="2" bestFit="1" customWidth="1"/>
    <col min="15" max="15" width="14.5" style="2" customWidth="1"/>
    <col min="16" max="16" width="12.5" style="2" bestFit="1" customWidth="1"/>
    <col min="17" max="17" width="11.1640625" style="2" bestFit="1" customWidth="1"/>
    <col min="18" max="18" width="10" style="2" bestFit="1" customWidth="1"/>
    <col min="19" max="20" width="9.83203125" style="2" bestFit="1" customWidth="1"/>
    <col min="21" max="21" width="14.83203125" style="2" bestFit="1" customWidth="1"/>
    <col min="22" max="22" width="13.5" style="57" customWidth="1"/>
    <col min="23" max="23" width="11.5" style="58" bestFit="1" customWidth="1"/>
    <col min="24" max="24" width="13.5" style="2" bestFit="1" customWidth="1"/>
    <col min="25" max="25" width="14.5" style="2" bestFit="1" customWidth="1"/>
    <col min="26" max="26" width="12.1640625" style="2" bestFit="1" customWidth="1"/>
    <col min="27" max="27" width="9.83203125" style="3" bestFit="1" customWidth="1"/>
    <col min="28" max="28" width="32.5" style="3" customWidth="1"/>
    <col min="29" max="29" width="33.5" style="3" customWidth="1"/>
    <col min="30" max="30" width="32.5" style="3" customWidth="1"/>
    <col min="31" max="31" width="7.1640625" style="2" customWidth="1"/>
    <col min="32" max="32" width="11.83203125" style="2" customWidth="1"/>
    <col min="33" max="33" width="7.1640625" style="2" customWidth="1"/>
    <col min="34" max="34" width="11.83203125" style="2" customWidth="1"/>
    <col min="35" max="35" width="7.5" style="2" customWidth="1"/>
    <col min="36" max="36" width="12.83203125" style="2" bestFit="1" customWidth="1"/>
    <col min="37" max="37" width="13.5" style="2" customWidth="1"/>
    <col min="38" max="38" width="12.83203125" style="2" bestFit="1" customWidth="1"/>
    <col min="39" max="39" width="10.5" style="2" customWidth="1"/>
    <col min="40" max="40" width="11.83203125" style="2" customWidth="1"/>
    <col min="41" max="41" width="9.5" style="2" customWidth="1"/>
    <col min="42" max="42" width="11.83203125" style="2" customWidth="1"/>
    <col min="43" max="43" width="10.6640625" style="2" bestFit="1" customWidth="1"/>
    <col min="44" max="44" width="14.5" style="2" customWidth="1"/>
    <col min="45" max="45" width="12.33203125" style="2" bestFit="1" customWidth="1"/>
    <col min="46" max="46" width="8.83203125" style="2" customWidth="1"/>
    <col min="47" max="47" width="7.5" style="2" customWidth="1"/>
    <col min="48" max="48" width="11.83203125" style="2" customWidth="1"/>
    <col min="49" max="49" width="7.5" style="2" customWidth="1"/>
    <col min="50" max="50" width="11.83203125" style="2" customWidth="1"/>
    <col min="51" max="51" width="12.33203125" style="2" bestFit="1" customWidth="1"/>
    <col min="52" max="52" width="12.83203125" style="2" bestFit="1" customWidth="1"/>
    <col min="53" max="53" width="7.5" style="2" customWidth="1"/>
    <col min="54" max="54" width="11.83203125" style="2" customWidth="1"/>
    <col min="55" max="55" width="9.5" style="2" customWidth="1"/>
    <col min="56" max="56" width="11.83203125" style="2" customWidth="1"/>
    <col min="57" max="57" width="10.6640625" style="2" bestFit="1" customWidth="1"/>
    <col min="58" max="58" width="13.5" style="2" customWidth="1"/>
    <col min="59" max="59" width="13" style="2" bestFit="1" customWidth="1"/>
    <col min="60" max="60" width="8.83203125" style="2" customWidth="1"/>
    <col min="61" max="61" width="7.1640625" style="2" customWidth="1"/>
    <col min="62" max="62" width="12.1640625" style="2" customWidth="1"/>
    <col min="63" max="63" width="7.1640625" style="2" customWidth="1"/>
    <col min="64" max="64" width="12.1640625" style="2" customWidth="1"/>
    <col min="65" max="65" width="8.5" style="2" customWidth="1"/>
    <col min="66" max="66" width="12.1640625" style="2" customWidth="1"/>
    <col min="67" max="67" width="11.5" style="2" customWidth="1"/>
    <col min="68" max="68" width="12.1640625" style="2" customWidth="1"/>
    <col min="69" max="69" width="10.5" style="2" customWidth="1"/>
    <col min="70" max="70" width="12.1640625" style="2" customWidth="1"/>
    <col min="71" max="71" width="8.83203125" style="2" customWidth="1"/>
    <col min="72" max="72" width="12.1640625" style="2" customWidth="1"/>
    <col min="73" max="73" width="13.5" style="2" customWidth="1"/>
    <col min="74" max="74" width="12.1640625" style="2" customWidth="1"/>
    <col min="75" max="75" width="8.83203125" style="2" customWidth="1"/>
    <col min="76" max="76" width="7.5" style="2" customWidth="1"/>
    <col min="77" max="77" width="12.1640625" style="2" customWidth="1"/>
    <col min="78" max="78" width="7.5" style="2" customWidth="1"/>
    <col min="79" max="79" width="12.1640625" style="2" customWidth="1"/>
    <col min="80" max="80" width="9.5" style="2" customWidth="1"/>
    <col min="81" max="81" width="12.1640625" style="2" customWidth="1"/>
    <col min="82" max="82" width="7.5" style="2" customWidth="1"/>
    <col min="83" max="83" width="12.1640625" style="2" customWidth="1"/>
    <col min="84" max="84" width="9.5" style="2" customWidth="1"/>
    <col min="85" max="85" width="12.1640625" style="2" customWidth="1"/>
    <col min="86" max="86" width="8.5" style="2" customWidth="1"/>
    <col min="87" max="87" width="14.5" style="2" customWidth="1"/>
    <col min="88" max="88" width="11.5" style="2" customWidth="1"/>
    <col min="89" max="90" width="8.83203125" style="2" customWidth="1"/>
    <col min="91" max="16384" width="8.83203125" style="2"/>
  </cols>
  <sheetData>
    <row r="1" spans="1:88" ht="30" customHeight="1" thickBot="1" x14ac:dyDescent="0.35">
      <c r="F1" s="14" t="str">
        <f>"Projectnaam :"&amp;Titelblad!$B$5</f>
        <v>Projectnaam :Naam project</v>
      </c>
    </row>
    <row r="2" spans="1:88" ht="30" customHeight="1" thickBot="1" x14ac:dyDescent="0.35">
      <c r="A2" s="14" t="s">
        <v>88</v>
      </c>
      <c r="C2" s="14"/>
      <c r="F2" s="16" t="s">
        <v>36</v>
      </c>
    </row>
    <row r="3" spans="1:88" ht="30" customHeight="1" x14ac:dyDescent="0.3">
      <c r="C3" s="14"/>
    </row>
    <row r="4" spans="1:88" x14ac:dyDescent="0.2">
      <c r="A4" s="17" t="s">
        <v>89</v>
      </c>
      <c r="B4" s="270">
        <v>1</v>
      </c>
      <c r="C4" s="271" t="s">
        <v>90</v>
      </c>
      <c r="D4" s="272"/>
      <c r="I4" s="57"/>
      <c r="J4" s="160"/>
      <c r="W4" s="161"/>
      <c r="AE4" s="2" t="s">
        <v>91</v>
      </c>
      <c r="AF4" s="2" t="s">
        <v>91</v>
      </c>
      <c r="AG4" s="2" t="s">
        <v>91</v>
      </c>
      <c r="AH4" s="2" t="s">
        <v>91</v>
      </c>
      <c r="AI4" s="2" t="s">
        <v>91</v>
      </c>
      <c r="AJ4" s="2" t="s">
        <v>91</v>
      </c>
      <c r="AK4" s="2" t="s">
        <v>91</v>
      </c>
      <c r="AL4" s="2" t="s">
        <v>91</v>
      </c>
      <c r="AM4" s="2" t="s">
        <v>91</v>
      </c>
      <c r="AN4" s="2" t="s">
        <v>91</v>
      </c>
      <c r="AO4" s="2" t="s">
        <v>91</v>
      </c>
      <c r="AP4" s="2" t="s">
        <v>91</v>
      </c>
      <c r="AQ4" s="2" t="s">
        <v>91</v>
      </c>
      <c r="AR4" s="2" t="s">
        <v>91</v>
      </c>
      <c r="AS4" s="2" t="s">
        <v>91</v>
      </c>
      <c r="AU4" s="210" t="s">
        <v>92</v>
      </c>
      <c r="AV4" s="210" t="s">
        <v>92</v>
      </c>
      <c r="AW4" s="210" t="s">
        <v>92</v>
      </c>
      <c r="AX4" s="210" t="s">
        <v>92</v>
      </c>
      <c r="AY4" s="210" t="s">
        <v>92</v>
      </c>
      <c r="AZ4" s="210" t="s">
        <v>92</v>
      </c>
      <c r="BA4" s="210" t="s">
        <v>92</v>
      </c>
      <c r="BB4" s="210" t="s">
        <v>92</v>
      </c>
      <c r="BC4" s="210" t="s">
        <v>92</v>
      </c>
      <c r="BD4" s="210" t="s">
        <v>92</v>
      </c>
      <c r="BE4" s="210" t="s">
        <v>92</v>
      </c>
      <c r="BF4" s="210" t="s">
        <v>92</v>
      </c>
      <c r="BG4" s="210" t="s">
        <v>92</v>
      </c>
    </row>
    <row r="5" spans="1:88" s="64" customFormat="1" ht="48" x14ac:dyDescent="0.2">
      <c r="A5" s="18" t="s">
        <v>53</v>
      </c>
      <c r="B5" s="21" t="s">
        <v>93</v>
      </c>
      <c r="C5" s="18" t="s">
        <v>94</v>
      </c>
      <c r="D5" s="60"/>
      <c r="E5" s="60" t="s">
        <v>95</v>
      </c>
      <c r="F5" s="60" t="s">
        <v>56</v>
      </c>
      <c r="G5" s="60" t="s">
        <v>96</v>
      </c>
      <c r="H5" s="18" t="s">
        <v>97</v>
      </c>
      <c r="I5" s="162" t="s">
        <v>98</v>
      </c>
      <c r="J5" s="163" t="s">
        <v>59</v>
      </c>
      <c r="K5" s="162" t="s">
        <v>99</v>
      </c>
      <c r="L5" s="60" t="s">
        <v>100</v>
      </c>
      <c r="M5" s="60"/>
      <c r="N5" s="60" t="s">
        <v>101</v>
      </c>
      <c r="O5" s="60" t="s">
        <v>102</v>
      </c>
      <c r="P5" s="62" t="s">
        <v>63</v>
      </c>
      <c r="Q5" s="60" t="s">
        <v>103</v>
      </c>
      <c r="R5" s="60" t="s">
        <v>104</v>
      </c>
      <c r="S5" s="60" t="s">
        <v>105</v>
      </c>
      <c r="T5" s="60" t="s">
        <v>106</v>
      </c>
      <c r="U5" s="60" t="s">
        <v>107</v>
      </c>
      <c r="V5" s="162" t="s">
        <v>108</v>
      </c>
      <c r="W5" s="163" t="s">
        <v>69</v>
      </c>
      <c r="X5" s="60" t="s">
        <v>109</v>
      </c>
      <c r="Y5" s="60" t="s">
        <v>73</v>
      </c>
      <c r="Z5" s="60" t="s">
        <v>110</v>
      </c>
      <c r="AA5" s="22"/>
      <c r="AB5" s="22"/>
      <c r="AC5" s="22"/>
      <c r="AD5" s="22"/>
      <c r="AE5" s="64" t="s">
        <v>111</v>
      </c>
      <c r="AF5" s="64" t="s">
        <v>112</v>
      </c>
      <c r="AG5" s="64" t="s">
        <v>113</v>
      </c>
      <c r="AH5" s="64" t="s">
        <v>43</v>
      </c>
      <c r="AJ5" s="64" t="s">
        <v>114</v>
      </c>
      <c r="AK5" s="64" t="s">
        <v>115</v>
      </c>
      <c r="AL5" s="64" t="s">
        <v>116</v>
      </c>
      <c r="AM5" s="64" t="s">
        <v>117</v>
      </c>
      <c r="AN5" s="64" t="s">
        <v>118</v>
      </c>
      <c r="AO5" s="64" t="s">
        <v>119</v>
      </c>
      <c r="AP5" s="64" t="s">
        <v>120</v>
      </c>
      <c r="AQ5" s="64" t="s">
        <v>49</v>
      </c>
      <c r="AR5" s="64" t="s">
        <v>41</v>
      </c>
      <c r="AS5" s="64" t="s">
        <v>121</v>
      </c>
      <c r="AU5" s="64" t="s">
        <v>111</v>
      </c>
      <c r="AV5" s="64" t="s">
        <v>112</v>
      </c>
      <c r="AW5" s="64" t="s">
        <v>113</v>
      </c>
      <c r="AY5" s="64" t="s">
        <v>122</v>
      </c>
      <c r="AZ5" s="64" t="s">
        <v>116</v>
      </c>
      <c r="BA5" s="64" t="s">
        <v>117</v>
      </c>
      <c r="BB5" s="64" t="s">
        <v>118</v>
      </c>
      <c r="BC5" s="64" t="s">
        <v>119</v>
      </c>
      <c r="BD5" s="64" t="s">
        <v>120</v>
      </c>
      <c r="BE5" s="64" t="s">
        <v>49</v>
      </c>
      <c r="BF5" s="64" t="s">
        <v>41</v>
      </c>
      <c r="BG5" s="64" t="s">
        <v>121</v>
      </c>
    </row>
    <row r="6" spans="1:88" x14ac:dyDescent="0.2">
      <c r="A6" s="185"/>
      <c r="B6" s="186"/>
      <c r="C6" s="304" t="s">
        <v>77</v>
      </c>
      <c r="D6" s="213"/>
      <c r="E6" s="214"/>
      <c r="F6" s="164">
        <f t="shared" ref="F6:F10" si="0">IF(E6=0,0,G6/E6)</f>
        <v>0</v>
      </c>
      <c r="G6" s="187"/>
      <c r="H6" s="215"/>
      <c r="I6" s="211"/>
      <c r="J6" s="212"/>
      <c r="K6" s="211"/>
      <c r="L6" s="67">
        <f t="shared" ref="L6:L9" si="1">IF(G6=0,0,IF(H6="verhuur",IF(J6=0,0,I6/J6),K6/G6))</f>
        <v>0</v>
      </c>
      <c r="M6" s="211"/>
      <c r="N6" s="211"/>
      <c r="O6" s="211"/>
      <c r="P6" s="216" t="s">
        <v>78</v>
      </c>
      <c r="Q6" s="211"/>
      <c r="R6" s="211"/>
      <c r="S6" s="211"/>
      <c r="T6" s="211"/>
      <c r="U6" s="67">
        <f t="shared" ref="U6:U10" si="2">SUM(N6:T6)</f>
        <v>0</v>
      </c>
      <c r="V6" s="67">
        <f t="shared" ref="V6:V10" si="3">L6-N6-O6-Q6-R6-S6-T6</f>
        <v>0</v>
      </c>
      <c r="W6" s="65">
        <f t="shared" ref="W6:W10" si="4">IF(L6=0,0,V6/L6)</f>
        <v>0</v>
      </c>
      <c r="X6" s="67">
        <f t="shared" ref="X6:X10" si="5">G6*L6</f>
        <v>0</v>
      </c>
      <c r="Y6" s="67">
        <f t="shared" ref="Y6:Y10" si="6">E6*U6</f>
        <v>0</v>
      </c>
      <c r="Z6" s="67">
        <f t="shared" ref="Z6:Z10" si="7">X6-Y6</f>
        <v>0</v>
      </c>
      <c r="AB6" s="3" t="str">
        <f t="shared" ref="AB6" si="8">C6</f>
        <v>Type invullen</v>
      </c>
      <c r="AC6" s="3" t="str">
        <f>AB6&amp;H6</f>
        <v>Type invullen</v>
      </c>
      <c r="AF6" s="184">
        <f t="shared" ref="AF6:AF10" si="9">$E6*($H6=$AE$4)</f>
        <v>0</v>
      </c>
      <c r="AG6" s="184">
        <f t="shared" ref="AG6:AG10" si="10">$G6*($H6=$AE$4)</f>
        <v>0</v>
      </c>
      <c r="AH6" s="188">
        <f t="shared" ref="AH6:AH10" si="11">$I6*$G6*($H6=$AE$4)</f>
        <v>0</v>
      </c>
      <c r="AI6" s="188"/>
      <c r="AJ6" s="188">
        <f t="shared" ref="AJ6:AJ10" si="12">($H6="verhuur")*$X6</f>
        <v>0</v>
      </c>
      <c r="AK6" s="188">
        <f t="shared" ref="AK6:AK10" si="13">($H6="verkoop")*$X6</f>
        <v>0</v>
      </c>
      <c r="AL6" s="188">
        <f t="shared" ref="AL6:AL10" si="14">$N6*$E6*($H6=$AE$4)</f>
        <v>0</v>
      </c>
      <c r="AM6" s="188">
        <f t="shared" ref="AM6:AM10" si="15">$O6*$E6*($H6=$AE$4)</f>
        <v>0</v>
      </c>
      <c r="AN6" s="188">
        <f t="shared" ref="AN6:AN9" si="16">$Q6*$E6*($H6=$AE$4)</f>
        <v>0</v>
      </c>
      <c r="AO6" s="188">
        <f t="shared" ref="AO6:AO10" si="17">$R6*$E6*($H6=$AE$4)</f>
        <v>0</v>
      </c>
      <c r="AP6" s="188">
        <f t="shared" ref="AP6:AP10" si="18">$S6*$E6*($H6=$AE$4)</f>
        <v>0</v>
      </c>
      <c r="AQ6" s="188">
        <f t="shared" ref="AQ6:AQ10" si="19">$T6*$E6*($H6=$AE$4)</f>
        <v>0</v>
      </c>
      <c r="AR6" s="188">
        <f t="shared" ref="AR6:AR10" si="20">$Y6*($H6=$AE$4)</f>
        <v>0</v>
      </c>
      <c r="AS6" s="188">
        <f t="shared" ref="AS6:AS10" si="21">$Z6*($H6=$AE$4)</f>
        <v>0</v>
      </c>
      <c r="AV6" s="184">
        <f>$E6*($H6=$AU$4)</f>
        <v>0</v>
      </c>
      <c r="AW6" s="184">
        <f t="shared" ref="AW6:AW10" si="22">$G6*($H6=$AU$4)</f>
        <v>0</v>
      </c>
      <c r="AX6" s="188"/>
      <c r="AY6" s="188">
        <f t="shared" ref="AY6:AY10" si="23">$X6*($H6=$AU$4)</f>
        <v>0</v>
      </c>
      <c r="AZ6" s="188">
        <f t="shared" ref="AZ6:AZ10" si="24">$N6*$E6*($H6=$AU$4)</f>
        <v>0</v>
      </c>
      <c r="BA6" s="188">
        <f t="shared" ref="BA6:BA10" si="25">$O6*$E6*($H6=$AU$4)</f>
        <v>0</v>
      </c>
      <c r="BB6" s="188">
        <f t="shared" ref="BB6:BB10" si="26">$Q6*$E6*($H6=$AU$4)</f>
        <v>0</v>
      </c>
      <c r="BC6" s="188">
        <f t="shared" ref="BC6:BC10" si="27">$R6*$E6*($H6=$AU$4)</f>
        <v>0</v>
      </c>
      <c r="BD6" s="188">
        <f t="shared" ref="BD6:BD10" si="28">$S6*$E6*($H6=$AU$4)</f>
        <v>0</v>
      </c>
      <c r="BE6" s="188">
        <f t="shared" ref="BE6:BE10" si="29">$T6*$E6*($H6=$AU$4)</f>
        <v>0</v>
      </c>
      <c r="BF6" s="188">
        <f t="shared" ref="BF6:BF10" si="30">$Y6*($H6=$AU$4)</f>
        <v>0</v>
      </c>
      <c r="BG6" s="188">
        <f t="shared" ref="BG6:BG10" si="31">$Z6*($H6=$AU$4)</f>
        <v>0</v>
      </c>
    </row>
    <row r="7" spans="1:88" x14ac:dyDescent="0.2">
      <c r="A7" s="185"/>
      <c r="B7" s="186"/>
      <c r="C7" s="304" t="s">
        <v>77</v>
      </c>
      <c r="D7" s="312"/>
      <c r="E7" s="214"/>
      <c r="F7" s="164">
        <f t="shared" si="0"/>
        <v>0</v>
      </c>
      <c r="G7" s="187"/>
      <c r="H7" s="215"/>
      <c r="I7" s="314"/>
      <c r="J7" s="315"/>
      <c r="K7" s="211"/>
      <c r="L7" s="67">
        <f t="shared" si="1"/>
        <v>0</v>
      </c>
      <c r="M7" s="308"/>
      <c r="N7" s="211"/>
      <c r="O7" s="211"/>
      <c r="P7" s="216" t="s">
        <v>78</v>
      </c>
      <c r="Q7" s="211"/>
      <c r="R7" s="211"/>
      <c r="S7" s="211"/>
      <c r="T7" s="211"/>
      <c r="U7" s="67">
        <f t="shared" si="2"/>
        <v>0</v>
      </c>
      <c r="V7" s="67">
        <f t="shared" si="3"/>
        <v>0</v>
      </c>
      <c r="W7" s="65">
        <f t="shared" si="4"/>
        <v>0</v>
      </c>
      <c r="X7" s="67">
        <f t="shared" si="5"/>
        <v>0</v>
      </c>
      <c r="Y7" s="67">
        <f t="shared" si="6"/>
        <v>0</v>
      </c>
      <c r="Z7" s="67">
        <f t="shared" si="7"/>
        <v>0</v>
      </c>
      <c r="AB7" s="3" t="str">
        <f t="shared" ref="AB7:AB10" si="32">C7</f>
        <v>Type invullen</v>
      </c>
      <c r="AC7" s="3" t="str">
        <f t="shared" ref="AC7:AC10" si="33">AB7&amp;H7</f>
        <v>Type invullen</v>
      </c>
      <c r="AF7" s="184">
        <f t="shared" si="9"/>
        <v>0</v>
      </c>
      <c r="AG7" s="184">
        <f t="shared" si="10"/>
        <v>0</v>
      </c>
      <c r="AH7" s="188">
        <f t="shared" si="11"/>
        <v>0</v>
      </c>
      <c r="AI7" s="188"/>
      <c r="AJ7" s="188">
        <f t="shared" si="12"/>
        <v>0</v>
      </c>
      <c r="AK7" s="188">
        <f t="shared" si="13"/>
        <v>0</v>
      </c>
      <c r="AL7" s="188">
        <f t="shared" si="14"/>
        <v>0</v>
      </c>
      <c r="AM7" s="188">
        <f t="shared" si="15"/>
        <v>0</v>
      </c>
      <c r="AN7" s="188">
        <f t="shared" si="16"/>
        <v>0</v>
      </c>
      <c r="AO7" s="188">
        <f t="shared" si="17"/>
        <v>0</v>
      </c>
      <c r="AP7" s="188">
        <f t="shared" si="18"/>
        <v>0</v>
      </c>
      <c r="AQ7" s="188">
        <f t="shared" si="19"/>
        <v>0</v>
      </c>
      <c r="AR7" s="188">
        <f t="shared" si="20"/>
        <v>0</v>
      </c>
      <c r="AS7" s="188">
        <f t="shared" si="21"/>
        <v>0</v>
      </c>
      <c r="AV7" s="184">
        <f t="shared" ref="AV7:AV10" si="34">$E7*($H7=$AU$4)</f>
        <v>0</v>
      </c>
      <c r="AW7" s="184">
        <f t="shared" si="22"/>
        <v>0</v>
      </c>
      <c r="AX7" s="188"/>
      <c r="AY7" s="188">
        <f t="shared" si="23"/>
        <v>0</v>
      </c>
      <c r="AZ7" s="188">
        <f t="shared" si="24"/>
        <v>0</v>
      </c>
      <c r="BA7" s="188">
        <f t="shared" si="25"/>
        <v>0</v>
      </c>
      <c r="BB7" s="188">
        <f t="shared" si="26"/>
        <v>0</v>
      </c>
      <c r="BC7" s="188">
        <f t="shared" si="27"/>
        <v>0</v>
      </c>
      <c r="BD7" s="188">
        <f t="shared" si="28"/>
        <v>0</v>
      </c>
      <c r="BE7" s="188">
        <f t="shared" si="29"/>
        <v>0</v>
      </c>
      <c r="BF7" s="188">
        <f t="shared" si="30"/>
        <v>0</v>
      </c>
      <c r="BG7" s="188">
        <f t="shared" si="31"/>
        <v>0</v>
      </c>
    </row>
    <row r="8" spans="1:88" x14ac:dyDescent="0.2">
      <c r="A8" s="185"/>
      <c r="B8" s="186"/>
      <c r="C8" s="304" t="s">
        <v>77</v>
      </c>
      <c r="D8" s="312"/>
      <c r="E8" s="214"/>
      <c r="F8" s="164">
        <f t="shared" si="0"/>
        <v>0</v>
      </c>
      <c r="G8" s="187"/>
      <c r="H8" s="215"/>
      <c r="I8" s="314"/>
      <c r="J8" s="315"/>
      <c r="K8" s="211"/>
      <c r="L8" s="67">
        <f t="shared" si="1"/>
        <v>0</v>
      </c>
      <c r="M8" s="308"/>
      <c r="N8" s="211"/>
      <c r="O8" s="211"/>
      <c r="P8" s="216" t="s">
        <v>78</v>
      </c>
      <c r="Q8" s="211"/>
      <c r="R8" s="211"/>
      <c r="S8" s="211"/>
      <c r="T8" s="211"/>
      <c r="U8" s="67">
        <f t="shared" si="2"/>
        <v>0</v>
      </c>
      <c r="V8" s="67">
        <f t="shared" si="3"/>
        <v>0</v>
      </c>
      <c r="W8" s="65">
        <f t="shared" si="4"/>
        <v>0</v>
      </c>
      <c r="X8" s="67">
        <f t="shared" si="5"/>
        <v>0</v>
      </c>
      <c r="Y8" s="67">
        <f t="shared" si="6"/>
        <v>0</v>
      </c>
      <c r="Z8" s="67">
        <f t="shared" si="7"/>
        <v>0</v>
      </c>
      <c r="AB8" s="3" t="str">
        <f t="shared" si="32"/>
        <v>Type invullen</v>
      </c>
      <c r="AC8" s="3" t="str">
        <f t="shared" si="33"/>
        <v>Type invullen</v>
      </c>
      <c r="AF8" s="184">
        <f t="shared" si="9"/>
        <v>0</v>
      </c>
      <c r="AG8" s="184">
        <f t="shared" si="10"/>
        <v>0</v>
      </c>
      <c r="AH8" s="188">
        <f t="shared" si="11"/>
        <v>0</v>
      </c>
      <c r="AI8" s="188"/>
      <c r="AJ8" s="188">
        <f t="shared" si="12"/>
        <v>0</v>
      </c>
      <c r="AK8" s="188">
        <f t="shared" si="13"/>
        <v>0</v>
      </c>
      <c r="AL8" s="188">
        <f t="shared" si="14"/>
        <v>0</v>
      </c>
      <c r="AM8" s="188">
        <f t="shared" si="15"/>
        <v>0</v>
      </c>
      <c r="AN8" s="188">
        <f t="shared" si="16"/>
        <v>0</v>
      </c>
      <c r="AO8" s="188">
        <f t="shared" si="17"/>
        <v>0</v>
      </c>
      <c r="AP8" s="188">
        <f t="shared" si="18"/>
        <v>0</v>
      </c>
      <c r="AQ8" s="188">
        <f t="shared" si="19"/>
        <v>0</v>
      </c>
      <c r="AR8" s="188">
        <f t="shared" si="20"/>
        <v>0</v>
      </c>
      <c r="AS8" s="188">
        <f t="shared" si="21"/>
        <v>0</v>
      </c>
      <c r="AV8" s="184">
        <f t="shared" si="34"/>
        <v>0</v>
      </c>
      <c r="AW8" s="184">
        <f t="shared" si="22"/>
        <v>0</v>
      </c>
      <c r="AX8" s="188"/>
      <c r="AY8" s="188">
        <f t="shared" si="23"/>
        <v>0</v>
      </c>
      <c r="AZ8" s="188">
        <f t="shared" si="24"/>
        <v>0</v>
      </c>
      <c r="BA8" s="188">
        <f t="shared" si="25"/>
        <v>0</v>
      </c>
      <c r="BB8" s="188">
        <f t="shared" si="26"/>
        <v>0</v>
      </c>
      <c r="BC8" s="188">
        <f t="shared" si="27"/>
        <v>0</v>
      </c>
      <c r="BD8" s="188">
        <f t="shared" si="28"/>
        <v>0</v>
      </c>
      <c r="BE8" s="188">
        <f t="shared" si="29"/>
        <v>0</v>
      </c>
      <c r="BF8" s="188">
        <f t="shared" si="30"/>
        <v>0</v>
      </c>
      <c r="BG8" s="188">
        <f t="shared" si="31"/>
        <v>0</v>
      </c>
    </row>
    <row r="9" spans="1:88" x14ac:dyDescent="0.2">
      <c r="A9" s="185"/>
      <c r="B9" s="186"/>
      <c r="C9" s="304" t="s">
        <v>77</v>
      </c>
      <c r="D9" s="312"/>
      <c r="E9" s="214"/>
      <c r="F9" s="164">
        <f t="shared" si="0"/>
        <v>0</v>
      </c>
      <c r="G9" s="187"/>
      <c r="H9" s="215"/>
      <c r="I9" s="314"/>
      <c r="J9" s="315"/>
      <c r="K9" s="211"/>
      <c r="L9" s="67">
        <f t="shared" si="1"/>
        <v>0</v>
      </c>
      <c r="M9" s="308"/>
      <c r="N9" s="211"/>
      <c r="O9" s="211"/>
      <c r="P9" s="216" t="s">
        <v>78</v>
      </c>
      <c r="Q9" s="211"/>
      <c r="R9" s="211"/>
      <c r="S9" s="211"/>
      <c r="T9" s="211"/>
      <c r="U9" s="67">
        <f t="shared" si="2"/>
        <v>0</v>
      </c>
      <c r="V9" s="67">
        <f t="shared" si="3"/>
        <v>0</v>
      </c>
      <c r="W9" s="65">
        <f t="shared" si="4"/>
        <v>0</v>
      </c>
      <c r="X9" s="67">
        <f t="shared" si="5"/>
        <v>0</v>
      </c>
      <c r="Y9" s="67">
        <f t="shared" si="6"/>
        <v>0</v>
      </c>
      <c r="Z9" s="67">
        <f t="shared" si="7"/>
        <v>0</v>
      </c>
      <c r="AB9" s="3" t="str">
        <f t="shared" si="32"/>
        <v>Type invullen</v>
      </c>
      <c r="AC9" s="3" t="str">
        <f t="shared" si="33"/>
        <v>Type invullen</v>
      </c>
      <c r="AF9" s="184">
        <f t="shared" si="9"/>
        <v>0</v>
      </c>
      <c r="AG9" s="184">
        <f t="shared" si="10"/>
        <v>0</v>
      </c>
      <c r="AH9" s="188">
        <f t="shared" si="11"/>
        <v>0</v>
      </c>
      <c r="AI9" s="188"/>
      <c r="AJ9" s="188">
        <f t="shared" si="12"/>
        <v>0</v>
      </c>
      <c r="AK9" s="188">
        <f t="shared" si="13"/>
        <v>0</v>
      </c>
      <c r="AL9" s="188">
        <f t="shared" si="14"/>
        <v>0</v>
      </c>
      <c r="AM9" s="188">
        <f t="shared" si="15"/>
        <v>0</v>
      </c>
      <c r="AN9" s="188">
        <f t="shared" si="16"/>
        <v>0</v>
      </c>
      <c r="AO9" s="188">
        <f t="shared" si="17"/>
        <v>0</v>
      </c>
      <c r="AP9" s="188">
        <f t="shared" si="18"/>
        <v>0</v>
      </c>
      <c r="AQ9" s="188">
        <f t="shared" si="19"/>
        <v>0</v>
      </c>
      <c r="AR9" s="188">
        <f t="shared" si="20"/>
        <v>0</v>
      </c>
      <c r="AS9" s="188">
        <f t="shared" si="21"/>
        <v>0</v>
      </c>
      <c r="AV9" s="184">
        <f t="shared" si="34"/>
        <v>0</v>
      </c>
      <c r="AW9" s="184">
        <f t="shared" si="22"/>
        <v>0</v>
      </c>
      <c r="AX9" s="188"/>
      <c r="AY9" s="188">
        <f t="shared" si="23"/>
        <v>0</v>
      </c>
      <c r="AZ9" s="188">
        <f t="shared" si="24"/>
        <v>0</v>
      </c>
      <c r="BA9" s="188">
        <f t="shared" si="25"/>
        <v>0</v>
      </c>
      <c r="BB9" s="188">
        <f t="shared" si="26"/>
        <v>0</v>
      </c>
      <c r="BC9" s="188">
        <f t="shared" si="27"/>
        <v>0</v>
      </c>
      <c r="BD9" s="188">
        <f t="shared" si="28"/>
        <v>0</v>
      </c>
      <c r="BE9" s="188">
        <f t="shared" si="29"/>
        <v>0</v>
      </c>
      <c r="BF9" s="188">
        <f t="shared" si="30"/>
        <v>0</v>
      </c>
      <c r="BG9" s="188">
        <f t="shared" si="31"/>
        <v>0</v>
      </c>
    </row>
    <row r="10" spans="1:88" x14ac:dyDescent="0.2">
      <c r="A10" s="185"/>
      <c r="B10" s="186"/>
      <c r="C10" s="304" t="s">
        <v>77</v>
      </c>
      <c r="D10" s="312"/>
      <c r="E10" s="214"/>
      <c r="F10" s="164">
        <f t="shared" si="0"/>
        <v>0</v>
      </c>
      <c r="G10" s="187"/>
      <c r="H10" s="215"/>
      <c r="I10" s="314"/>
      <c r="J10" s="315"/>
      <c r="K10" s="211"/>
      <c r="L10" s="67">
        <f>IF(G10=0,0,IF(H10="verhuur",IF(J10=0,0,I10/J10),K10/G10))</f>
        <v>0</v>
      </c>
      <c r="M10" s="308"/>
      <c r="N10" s="211"/>
      <c r="O10" s="211"/>
      <c r="P10" s="216" t="s">
        <v>78</v>
      </c>
      <c r="Q10" s="211"/>
      <c r="R10" s="211"/>
      <c r="S10" s="211"/>
      <c r="T10" s="211"/>
      <c r="U10" s="67">
        <f t="shared" si="2"/>
        <v>0</v>
      </c>
      <c r="V10" s="67">
        <f t="shared" si="3"/>
        <v>0</v>
      </c>
      <c r="W10" s="65">
        <f t="shared" si="4"/>
        <v>0</v>
      </c>
      <c r="X10" s="67">
        <f t="shared" si="5"/>
        <v>0</v>
      </c>
      <c r="Y10" s="67">
        <f t="shared" si="6"/>
        <v>0</v>
      </c>
      <c r="Z10" s="67">
        <f t="shared" si="7"/>
        <v>0</v>
      </c>
      <c r="AB10" s="3" t="str">
        <f t="shared" si="32"/>
        <v>Type invullen</v>
      </c>
      <c r="AC10" s="3" t="str">
        <f t="shared" si="33"/>
        <v>Type invullen</v>
      </c>
      <c r="AF10" s="184">
        <f t="shared" si="9"/>
        <v>0</v>
      </c>
      <c r="AG10" s="184">
        <f t="shared" si="10"/>
        <v>0</v>
      </c>
      <c r="AH10" s="188">
        <f t="shared" si="11"/>
        <v>0</v>
      </c>
      <c r="AI10" s="188"/>
      <c r="AJ10" s="188">
        <f t="shared" si="12"/>
        <v>0</v>
      </c>
      <c r="AK10" s="188">
        <f t="shared" si="13"/>
        <v>0</v>
      </c>
      <c r="AL10" s="188">
        <f t="shared" si="14"/>
        <v>0</v>
      </c>
      <c r="AM10" s="188">
        <f t="shared" si="15"/>
        <v>0</v>
      </c>
      <c r="AN10" s="188">
        <f>$Q10*$E10*($H10=$AE$4)</f>
        <v>0</v>
      </c>
      <c r="AO10" s="188">
        <f t="shared" si="17"/>
        <v>0</v>
      </c>
      <c r="AP10" s="188">
        <f t="shared" si="18"/>
        <v>0</v>
      </c>
      <c r="AQ10" s="188">
        <f t="shared" si="19"/>
        <v>0</v>
      </c>
      <c r="AR10" s="188">
        <f t="shared" si="20"/>
        <v>0</v>
      </c>
      <c r="AS10" s="188">
        <f t="shared" si="21"/>
        <v>0</v>
      </c>
      <c r="AV10" s="184">
        <f t="shared" si="34"/>
        <v>0</v>
      </c>
      <c r="AW10" s="184">
        <f t="shared" si="22"/>
        <v>0</v>
      </c>
      <c r="AX10" s="188"/>
      <c r="AY10" s="188">
        <f t="shared" si="23"/>
        <v>0</v>
      </c>
      <c r="AZ10" s="188">
        <f t="shared" si="24"/>
        <v>0</v>
      </c>
      <c r="BA10" s="188">
        <f t="shared" si="25"/>
        <v>0</v>
      </c>
      <c r="BB10" s="188">
        <f t="shared" si="26"/>
        <v>0</v>
      </c>
      <c r="BC10" s="188">
        <f t="shared" si="27"/>
        <v>0</v>
      </c>
      <c r="BD10" s="188">
        <f t="shared" si="28"/>
        <v>0</v>
      </c>
      <c r="BE10" s="188">
        <f t="shared" si="29"/>
        <v>0</v>
      </c>
      <c r="BF10" s="188">
        <f t="shared" si="30"/>
        <v>0</v>
      </c>
      <c r="BG10" s="188">
        <f t="shared" si="31"/>
        <v>0</v>
      </c>
    </row>
    <row r="11" spans="1:88" s="55" customFormat="1" ht="16" thickBot="1" x14ac:dyDescent="0.25">
      <c r="A11" s="48"/>
      <c r="B11" s="49"/>
      <c r="C11" s="49"/>
      <c r="D11" s="173"/>
      <c r="E11" s="166"/>
      <c r="F11" s="167"/>
      <c r="G11" s="168"/>
      <c r="H11" s="50"/>
      <c r="I11" s="169"/>
      <c r="J11" s="170"/>
      <c r="K11" s="169"/>
      <c r="L11" s="171"/>
      <c r="M11" s="171"/>
      <c r="N11" s="169"/>
      <c r="O11" s="169"/>
      <c r="P11" s="169"/>
      <c r="Q11" s="171"/>
      <c r="R11" s="169"/>
      <c r="S11" s="171"/>
      <c r="T11" s="171"/>
      <c r="U11" s="171"/>
      <c r="V11" s="171"/>
      <c r="W11" s="172"/>
      <c r="X11" s="171"/>
      <c r="Y11" s="171"/>
      <c r="Z11" s="171"/>
      <c r="AA11" s="15"/>
      <c r="AB11" s="3"/>
      <c r="AC11" s="3"/>
      <c r="AD11" s="3"/>
      <c r="AE11" s="2"/>
      <c r="AF11" s="184"/>
      <c r="AG11" s="184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2"/>
      <c r="AU11" s="2"/>
      <c r="AV11" s="184"/>
      <c r="AW11" s="184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</row>
    <row r="12" spans="1:88" ht="17" thickTop="1" thickBot="1" x14ac:dyDescent="0.25">
      <c r="A12" s="51" t="s">
        <v>79</v>
      </c>
      <c r="B12" s="52"/>
      <c r="C12" s="52"/>
      <c r="D12" s="177"/>
      <c r="E12" s="175">
        <f>SUM(E6:E11)</f>
        <v>0</v>
      </c>
      <c r="F12" s="176">
        <f>IF(E12=0,0,G12/E12)</f>
        <v>0</v>
      </c>
      <c r="G12" s="177">
        <f>SUM(G6:G11)</f>
        <v>0</v>
      </c>
      <c r="H12" s="53"/>
      <c r="I12" s="178"/>
      <c r="J12" s="179"/>
      <c r="K12" s="178"/>
      <c r="L12" s="178">
        <f>SUMPRODUCT(L$6:L$11,$G$6:$G$11)</f>
        <v>0</v>
      </c>
      <c r="M12" s="178"/>
      <c r="N12" s="178">
        <f>SUMPRODUCT(N$6:N$11,$E$6:$E$11)</f>
        <v>0</v>
      </c>
      <c r="O12" s="178">
        <f>SUMPRODUCT(O$6:O$11,$E$6:$E$11)</f>
        <v>0</v>
      </c>
      <c r="P12" s="178"/>
      <c r="Q12" s="178">
        <f>SUMPRODUCT(Q$6:Q$11,$E$6:$E$11)</f>
        <v>0</v>
      </c>
      <c r="R12" s="178">
        <f>SUMPRODUCT(R$6:R$11,$E$6:$E$11)</f>
        <v>0</v>
      </c>
      <c r="S12" s="178">
        <f>SUMPRODUCT(S$6:S$11,$E$6:$E$11)</f>
        <v>0</v>
      </c>
      <c r="T12" s="178">
        <f>SUMPRODUCT(T$6:T$11,$E$6:$E$11)</f>
        <v>0</v>
      </c>
      <c r="U12" s="178">
        <f>SUMPRODUCT(U$6:U$11,$E$6:$E$11)</f>
        <v>0</v>
      </c>
      <c r="V12" s="178">
        <f>X12-U12</f>
        <v>0</v>
      </c>
      <c r="W12" s="176"/>
      <c r="X12" s="178">
        <f>SUM(X6:X11)</f>
        <v>0</v>
      </c>
      <c r="Y12" s="178">
        <f>SUM(Y6:Y11)</f>
        <v>0</v>
      </c>
      <c r="Z12" s="178">
        <f>SUM(Z6:Z11)</f>
        <v>0</v>
      </c>
      <c r="AF12" s="184"/>
      <c r="AG12" s="184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V12" s="184"/>
      <c r="AW12" s="184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</row>
    <row r="13" spans="1:88" ht="16" thickTop="1" x14ac:dyDescent="0.2">
      <c r="L13" s="202"/>
    </row>
    <row r="14" spans="1:88" x14ac:dyDescent="0.2">
      <c r="A14" s="17" t="s">
        <v>123</v>
      </c>
      <c r="B14" s="270">
        <v>1</v>
      </c>
      <c r="C14" s="271" t="s">
        <v>124</v>
      </c>
      <c r="D14" s="272"/>
      <c r="AE14" s="2" t="s">
        <v>91</v>
      </c>
      <c r="AF14" s="3" t="s">
        <v>125</v>
      </c>
      <c r="AG14" s="2" t="s">
        <v>91</v>
      </c>
      <c r="AH14" s="3" t="s">
        <v>125</v>
      </c>
      <c r="AI14" s="2" t="s">
        <v>91</v>
      </c>
      <c r="AJ14" s="3" t="s">
        <v>125</v>
      </c>
      <c r="AK14" s="2" t="s">
        <v>91</v>
      </c>
      <c r="AL14" s="3" t="s">
        <v>125</v>
      </c>
      <c r="AM14" s="2" t="s">
        <v>91</v>
      </c>
      <c r="AN14" s="3" t="s">
        <v>125</v>
      </c>
      <c r="AO14" s="2" t="s">
        <v>91</v>
      </c>
      <c r="AP14" s="3" t="s">
        <v>125</v>
      </c>
      <c r="AQ14" s="2" t="s">
        <v>91</v>
      </c>
      <c r="AR14" s="3" t="s">
        <v>125</v>
      </c>
      <c r="AS14" s="2" t="s">
        <v>91</v>
      </c>
      <c r="AU14" s="210" t="s">
        <v>92</v>
      </c>
      <c r="AV14" s="3" t="s">
        <v>125</v>
      </c>
      <c r="AW14" s="210" t="s">
        <v>92</v>
      </c>
      <c r="AX14" s="3" t="s">
        <v>125</v>
      </c>
      <c r="AY14" s="210" t="s">
        <v>92</v>
      </c>
      <c r="AZ14" s="3" t="s">
        <v>125</v>
      </c>
      <c r="BA14" s="210" t="s">
        <v>92</v>
      </c>
      <c r="BB14" s="3" t="s">
        <v>125</v>
      </c>
      <c r="BC14" s="210" t="s">
        <v>92</v>
      </c>
      <c r="BD14" s="3" t="s">
        <v>125</v>
      </c>
      <c r="BE14" s="210" t="s">
        <v>92</v>
      </c>
      <c r="BF14" s="3" t="s">
        <v>125</v>
      </c>
      <c r="BG14" s="210" t="s">
        <v>92</v>
      </c>
      <c r="BI14" s="2" t="s">
        <v>91</v>
      </c>
      <c r="BJ14" s="3" t="s">
        <v>126</v>
      </c>
      <c r="BK14" s="2" t="s">
        <v>91</v>
      </c>
      <c r="BL14" s="3" t="s">
        <v>126</v>
      </c>
      <c r="BM14" s="2" t="s">
        <v>91</v>
      </c>
      <c r="BN14" s="3" t="s">
        <v>126</v>
      </c>
      <c r="BO14" s="2" t="s">
        <v>91</v>
      </c>
      <c r="BP14" s="3" t="s">
        <v>126</v>
      </c>
      <c r="BQ14" s="2" t="s">
        <v>91</v>
      </c>
      <c r="BR14" s="3" t="s">
        <v>126</v>
      </c>
      <c r="BS14" s="2" t="s">
        <v>91</v>
      </c>
      <c r="BT14" s="3" t="s">
        <v>126</v>
      </c>
      <c r="BU14" s="2" t="s">
        <v>91</v>
      </c>
      <c r="BV14" s="3" t="s">
        <v>126</v>
      </c>
      <c r="BX14" s="210" t="s">
        <v>92</v>
      </c>
      <c r="BY14" s="3" t="s">
        <v>126</v>
      </c>
      <c r="BZ14" s="210" t="s">
        <v>92</v>
      </c>
      <c r="CA14" s="3" t="s">
        <v>126</v>
      </c>
      <c r="CB14" s="210" t="s">
        <v>92</v>
      </c>
      <c r="CC14" s="3" t="s">
        <v>126</v>
      </c>
      <c r="CD14" s="210" t="s">
        <v>92</v>
      </c>
      <c r="CE14" s="3" t="s">
        <v>126</v>
      </c>
      <c r="CF14" s="210" t="s">
        <v>92</v>
      </c>
      <c r="CG14" s="3" t="s">
        <v>126</v>
      </c>
      <c r="CH14" s="210" t="s">
        <v>92</v>
      </c>
      <c r="CI14" s="3" t="s">
        <v>126</v>
      </c>
      <c r="CJ14" s="210" t="s">
        <v>92</v>
      </c>
    </row>
    <row r="15" spans="1:88" s="64" customFormat="1" ht="64" x14ac:dyDescent="0.2">
      <c r="A15" s="18" t="s">
        <v>50</v>
      </c>
      <c r="B15" s="21" t="s">
        <v>127</v>
      </c>
      <c r="C15" s="18" t="s">
        <v>128</v>
      </c>
      <c r="D15" s="18" t="s">
        <v>129</v>
      </c>
      <c r="E15" s="60" t="s">
        <v>70</v>
      </c>
      <c r="F15" s="60" t="s">
        <v>130</v>
      </c>
      <c r="G15" s="60" t="s">
        <v>55</v>
      </c>
      <c r="H15" s="18" t="s">
        <v>97</v>
      </c>
      <c r="I15" s="60" t="s">
        <v>131</v>
      </c>
      <c r="J15" s="60" t="s">
        <v>59</v>
      </c>
      <c r="K15" s="162" t="s">
        <v>132</v>
      </c>
      <c r="L15" s="60" t="s">
        <v>133</v>
      </c>
      <c r="M15" s="60" t="s">
        <v>134</v>
      </c>
      <c r="N15" s="60" t="s">
        <v>135</v>
      </c>
      <c r="O15" s="60" t="s">
        <v>136</v>
      </c>
      <c r="P15" s="62" t="s">
        <v>63</v>
      </c>
      <c r="Q15" s="60" t="s">
        <v>64</v>
      </c>
      <c r="R15" s="60" t="s">
        <v>65</v>
      </c>
      <c r="S15" s="60" t="s">
        <v>66</v>
      </c>
      <c r="T15" s="60" t="s">
        <v>67</v>
      </c>
      <c r="U15" s="60" t="s">
        <v>137</v>
      </c>
      <c r="V15" s="162" t="s">
        <v>138</v>
      </c>
      <c r="W15" s="60" t="s">
        <v>69</v>
      </c>
      <c r="X15" s="60" t="s">
        <v>83</v>
      </c>
      <c r="Y15" s="60" t="s">
        <v>73</v>
      </c>
      <c r="Z15" s="60" t="s">
        <v>110</v>
      </c>
      <c r="AA15" s="22"/>
      <c r="AB15" s="22"/>
      <c r="AC15" s="22"/>
      <c r="AD15" s="22"/>
      <c r="AE15" s="64" t="s">
        <v>111</v>
      </c>
      <c r="AF15" s="64" t="s">
        <v>112</v>
      </c>
      <c r="AG15" s="64" t="s">
        <v>113</v>
      </c>
      <c r="AH15" s="64" t="s">
        <v>139</v>
      </c>
      <c r="AI15" s="64" t="s">
        <v>140</v>
      </c>
      <c r="AJ15" s="64" t="s">
        <v>114</v>
      </c>
      <c r="AK15" s="64" t="s">
        <v>115</v>
      </c>
      <c r="AL15" s="64" t="s">
        <v>116</v>
      </c>
      <c r="AM15" s="64" t="s">
        <v>117</v>
      </c>
      <c r="AN15" s="64" t="s">
        <v>118</v>
      </c>
      <c r="AO15" s="64" t="s">
        <v>119</v>
      </c>
      <c r="AP15" s="64" t="s">
        <v>120</v>
      </c>
      <c r="AQ15" s="64" t="s">
        <v>49</v>
      </c>
      <c r="AR15" s="64" t="s">
        <v>41</v>
      </c>
      <c r="AS15" s="64" t="s">
        <v>121</v>
      </c>
      <c r="AU15" s="64" t="s">
        <v>111</v>
      </c>
      <c r="AV15" s="64" t="s">
        <v>112</v>
      </c>
      <c r="AW15" s="64" t="s">
        <v>113</v>
      </c>
      <c r="AY15" s="64" t="s">
        <v>122</v>
      </c>
      <c r="AZ15" s="64" t="s">
        <v>116</v>
      </c>
      <c r="BA15" s="64" t="s">
        <v>117</v>
      </c>
      <c r="BB15" s="64" t="s">
        <v>118</v>
      </c>
      <c r="BC15" s="64" t="s">
        <v>119</v>
      </c>
      <c r="BD15" s="64" t="s">
        <v>120</v>
      </c>
      <c r="BE15" s="64" t="s">
        <v>49</v>
      </c>
      <c r="BF15" s="64" t="s">
        <v>41</v>
      </c>
      <c r="BG15" s="64" t="s">
        <v>121</v>
      </c>
      <c r="BI15" s="64" t="s">
        <v>111</v>
      </c>
      <c r="BJ15" s="64" t="s">
        <v>112</v>
      </c>
      <c r="BK15" s="64" t="s">
        <v>113</v>
      </c>
      <c r="BL15" s="64" t="s">
        <v>139</v>
      </c>
      <c r="BM15" s="64" t="s">
        <v>140</v>
      </c>
      <c r="BN15" s="64" t="s">
        <v>122</v>
      </c>
      <c r="BO15" s="64" t="s">
        <v>116</v>
      </c>
      <c r="BP15" s="64" t="s">
        <v>117</v>
      </c>
      <c r="BQ15" s="64" t="s">
        <v>118</v>
      </c>
      <c r="BR15" s="64" t="s">
        <v>119</v>
      </c>
      <c r="BS15" s="64" t="s">
        <v>120</v>
      </c>
      <c r="BT15" s="64" t="s">
        <v>49</v>
      </c>
      <c r="BU15" s="64" t="s">
        <v>41</v>
      </c>
      <c r="BV15" s="64" t="s">
        <v>121</v>
      </c>
      <c r="BX15" s="64" t="s">
        <v>111</v>
      </c>
      <c r="BY15" s="64" t="s">
        <v>112</v>
      </c>
      <c r="BZ15" s="64" t="s">
        <v>113</v>
      </c>
      <c r="CB15" s="64" t="s">
        <v>122</v>
      </c>
      <c r="CC15" s="64" t="s">
        <v>116</v>
      </c>
      <c r="CD15" s="64" t="s">
        <v>117</v>
      </c>
      <c r="CE15" s="64" t="s">
        <v>118</v>
      </c>
      <c r="CF15" s="64" t="s">
        <v>119</v>
      </c>
      <c r="CG15" s="64" t="s">
        <v>120</v>
      </c>
      <c r="CH15" s="64" t="s">
        <v>49</v>
      </c>
      <c r="CI15" s="64" t="s">
        <v>41</v>
      </c>
      <c r="CJ15" s="64" t="s">
        <v>121</v>
      </c>
    </row>
    <row r="16" spans="1:88" x14ac:dyDescent="0.2">
      <c r="A16" s="197"/>
      <c r="B16" s="186"/>
      <c r="C16" s="305" t="s">
        <v>77</v>
      </c>
      <c r="D16" s="305" t="s">
        <v>77</v>
      </c>
      <c r="E16" s="70">
        <f>$F16*G16</f>
        <v>0</v>
      </c>
      <c r="F16" s="288"/>
      <c r="G16" s="288"/>
      <c r="H16" s="307" t="s">
        <v>77</v>
      </c>
      <c r="I16" s="211"/>
      <c r="J16" s="212"/>
      <c r="K16" s="216"/>
      <c r="L16" s="67">
        <f>IF(H16="verhuur",IF(J16=0,0,(I16*12)/J16),K16)</f>
        <v>0</v>
      </c>
      <c r="M16" s="67">
        <f>L16/1.21</f>
        <v>0</v>
      </c>
      <c r="N16" s="216"/>
      <c r="O16" s="216"/>
      <c r="P16" s="216" t="s">
        <v>78</v>
      </c>
      <c r="Q16" s="216"/>
      <c r="R16" s="216"/>
      <c r="S16" s="216"/>
      <c r="T16" s="216"/>
      <c r="U16" s="67">
        <f>SUM(N16:T16)</f>
        <v>0</v>
      </c>
      <c r="V16" s="67">
        <f>M16-N16-O16-Q16-R16-S16-T16</f>
        <v>0</v>
      </c>
      <c r="W16" s="65">
        <f>IF(M16=0,0,V16/M16)</f>
        <v>0</v>
      </c>
      <c r="X16" s="67">
        <f>M16*F16</f>
        <v>0</v>
      </c>
      <c r="Y16" s="67">
        <f t="shared" ref="Y16" si="35">$F16*U16</f>
        <v>0</v>
      </c>
      <c r="Z16" s="67">
        <f t="shared" ref="Z16" si="36">$F16*V16</f>
        <v>0</v>
      </c>
      <c r="AB16" s="3" t="str">
        <f>H16&amp;C16&amp;D16</f>
        <v>Type invullenType invullenType invullen</v>
      </c>
      <c r="AD16" s="3" t="str">
        <f>H16&amp;C16&amp;" "&amp;D16</f>
        <v>Type invullenType invullen Type invullen</v>
      </c>
      <c r="AE16" s="184">
        <f>$F16*($H16=AE$14)*($C16=$AF$14)</f>
        <v>0</v>
      </c>
      <c r="AF16" s="184">
        <f>$E16*($H16=AE$14)*($C16=$AF$14)</f>
        <v>0</v>
      </c>
      <c r="AG16" s="184">
        <f>$G16*($H16=AE$14)*($C16=$AF$14)</f>
        <v>0</v>
      </c>
      <c r="AH16" s="188">
        <f>$I16*$F16*($H16=AE$14)*($C16=$AF$14)</f>
        <v>0</v>
      </c>
      <c r="AI16" s="188">
        <f>$I16*12*$F16*($C16=$AF$14)</f>
        <v>0</v>
      </c>
      <c r="AJ16" s="188">
        <f>$X16*($H16=AE$14)*($C16=$AF$14)</f>
        <v>0</v>
      </c>
      <c r="AK16" s="188"/>
      <c r="AL16" s="188">
        <f>$N16*$F16*($H16=AE$14)*($C16=$AF$14)</f>
        <v>0</v>
      </c>
      <c r="AM16" s="188">
        <f>$O16*$E16*($H16=AE$14)*($C16=$AF$14)</f>
        <v>0</v>
      </c>
      <c r="AN16" s="188">
        <f>$Q16*$F16*($H16=AE$14)*($C16=$AF$14)</f>
        <v>0</v>
      </c>
      <c r="AO16" s="188">
        <f>$R16*$F16*($H16=AE$14)*($C16=$AF$14)</f>
        <v>0</v>
      </c>
      <c r="AP16" s="188">
        <f>$S16*$F16*($H16=AE$14)*($C16=$AF$14)*($C16=$AF$14)</f>
        <v>0</v>
      </c>
      <c r="AQ16" s="188">
        <f>$T16*$F16*($H16=AE$14)*($C16=$AF$14)</f>
        <v>0</v>
      </c>
      <c r="AR16" s="188">
        <f>$Y16*($H16=AE$14)*($C16=$AF$14)</f>
        <v>0</v>
      </c>
      <c r="AS16" s="188">
        <f>$Z16*($H16=AE$14)*($C16=$AF$14)</f>
        <v>0</v>
      </c>
      <c r="AU16" s="184">
        <f>$F16*($H16=AU$14)*($C16=$AF$14)</f>
        <v>0</v>
      </c>
      <c r="AV16" s="184">
        <f>$E16*($H16=AU$14)*($C16=$AF$14)</f>
        <v>0</v>
      </c>
      <c r="AW16" s="184">
        <f>$G16*($H16=AU$14)*($C16=$AF$14)</f>
        <v>0</v>
      </c>
      <c r="AX16" s="188"/>
      <c r="AY16" s="188">
        <f>$X16*($H16=AU$14)*($C16=$AF$14)</f>
        <v>0</v>
      </c>
      <c r="AZ16" s="188">
        <f>$N16*$F16*($H16=AU$14)*($C16=$AF$14)</f>
        <v>0</v>
      </c>
      <c r="BA16" s="188">
        <f>$O16*$F16*($H16=AU$14)*($C16=$AF$14)</f>
        <v>0</v>
      </c>
      <c r="BB16" s="188">
        <f>$Q16*$F16*($H16=AU$14)*($C16=$AF$14)</f>
        <v>0</v>
      </c>
      <c r="BC16" s="188">
        <f>$R16*$F16*($H16=AU$14)*($C16=$AF$14)</f>
        <v>0</v>
      </c>
      <c r="BD16" s="188">
        <f>$S16*$F16*($H16=AU$14)*($C16=$AF$14)</f>
        <v>0</v>
      </c>
      <c r="BE16" s="188">
        <f>$T16*$F16*($H16=AU$14)*($C16=$AF$14)</f>
        <v>0</v>
      </c>
      <c r="BF16" s="188">
        <f>$Y16*($H16=AU$14)*($C16=$AF$14)</f>
        <v>0</v>
      </c>
      <c r="BG16" s="188">
        <f>$Z16*($H16=AU$14)*($C16=$AF$14)</f>
        <v>0</v>
      </c>
      <c r="BI16" s="184">
        <f>$F16*($H16=BI$14)*($C16=$BJ$14)</f>
        <v>0</v>
      </c>
      <c r="BJ16" s="184">
        <f>$E16*($H16=BI$14)*($C16=$BJ$14)</f>
        <v>0</v>
      </c>
      <c r="BK16" s="184">
        <f>$G16*($H16=BI$14)*($C16=$BJ$14)</f>
        <v>0</v>
      </c>
      <c r="BL16" s="188">
        <f>$I16*$F16*($H16=BI$14)*($C16=$BJ$14)</f>
        <v>0</v>
      </c>
      <c r="BM16" s="188">
        <f>$I16*12*$F16*($C16=$BJ$14)</f>
        <v>0</v>
      </c>
      <c r="BN16" s="188">
        <f>$X16*($H16=BI$14)*($C16=$BJ$14)</f>
        <v>0</v>
      </c>
      <c r="BO16" s="188">
        <f>$N16*$F16*($H16=BI$14)*($C16=$BJ$14)</f>
        <v>0</v>
      </c>
      <c r="BP16" s="188">
        <f>$O16*$F16*($H16=BI$14)*($C16=$BJ$14)</f>
        <v>0</v>
      </c>
      <c r="BQ16" s="188">
        <f>$Q16*$F16*($H16=BI$14)*($C16=$BJ$14)</f>
        <v>0</v>
      </c>
      <c r="BR16" s="188">
        <f>$R16*$F16*($H16=BI$14)*($C16=$BJ$14)</f>
        <v>0</v>
      </c>
      <c r="BS16" s="188">
        <f>$S16*$F16*($H16=BI$14)*($C16=$BJ$14)*($C16=$BJ$14)</f>
        <v>0</v>
      </c>
      <c r="BT16" s="188">
        <f>$T16*$F16*($H16=BI$14)*($C16=$BJ$14)</f>
        <v>0</v>
      </c>
      <c r="BU16" s="188">
        <f>$Y16*($H16=BI$14)*($C16=$BJ$14)</f>
        <v>0</v>
      </c>
      <c r="BV16" s="188">
        <f>$Z16*($H16=BI$14)*($C16=$BJ$14)</f>
        <v>0</v>
      </c>
      <c r="BX16" s="184">
        <f>$F16*($H16=BX$14)*($C16=$BY$14)</f>
        <v>0</v>
      </c>
      <c r="BY16" s="184">
        <f>$E16*($H16=BX$14)*($C16=$BY$14)</f>
        <v>0</v>
      </c>
      <c r="BZ16" s="184">
        <f>$G16*($H16=BX$14)*($C16=$BY$14)</f>
        <v>0</v>
      </c>
      <c r="CA16" s="188"/>
      <c r="CB16" s="188">
        <f>$X16*($H16=BX$14)*($C16=$BY$14)</f>
        <v>0</v>
      </c>
      <c r="CC16" s="188">
        <f>$N16*$F16*($H16=BX$14)*($C16=$BY$14)</f>
        <v>0</v>
      </c>
      <c r="CD16" s="188">
        <f>$O16*$F16*($H16=BX$14)*($C16=$BY$14)</f>
        <v>0</v>
      </c>
      <c r="CE16" s="188">
        <f>$Q16*$F16*($H16=BX$14)*($C16=$BY$14)</f>
        <v>0</v>
      </c>
      <c r="CF16" s="188">
        <f>$R16*$F16*($H16=BX$14)*($C16=$BY$14)</f>
        <v>0</v>
      </c>
      <c r="CG16" s="188">
        <f>$S16*$F16*($H16=BX$14)*($C16=$BY$14)</f>
        <v>0</v>
      </c>
      <c r="CH16" s="188">
        <f>$T16*$F16*($H16=BX$14)*($C16=$BY$14)</f>
        <v>0</v>
      </c>
      <c r="CI16" s="188">
        <f>$Y16*($H16=BX$14)*($C16=$BY$14)</f>
        <v>0</v>
      </c>
      <c r="CJ16" s="188">
        <f>$Z16*($H16=BX$14)*($C16=$BY$14)</f>
        <v>0</v>
      </c>
    </row>
    <row r="17" spans="1:88" x14ac:dyDescent="0.2">
      <c r="A17" s="197"/>
      <c r="B17" s="186"/>
      <c r="C17" s="305" t="s">
        <v>77</v>
      </c>
      <c r="D17" s="305" t="s">
        <v>77</v>
      </c>
      <c r="E17" s="70">
        <f>$F17*G17</f>
        <v>0</v>
      </c>
      <c r="F17" s="306"/>
      <c r="G17" s="306"/>
      <c r="H17" s="307" t="s">
        <v>77</v>
      </c>
      <c r="I17" s="308"/>
      <c r="J17" s="309"/>
      <c r="K17" s="310"/>
      <c r="L17" s="67">
        <f>IF(H17="verhuur",IF(J17=0,0,(I17*12)/J17),K17)</f>
        <v>0</v>
      </c>
      <c r="M17" s="67">
        <f>L17/1.21</f>
        <v>0</v>
      </c>
      <c r="N17" s="310"/>
      <c r="O17" s="310"/>
      <c r="P17" s="216" t="s">
        <v>78</v>
      </c>
      <c r="Q17" s="310"/>
      <c r="R17" s="310"/>
      <c r="S17" s="310"/>
      <c r="T17" s="216"/>
      <c r="U17" s="67">
        <f t="shared" ref="U17:U23" si="37">SUM(N17:T17)</f>
        <v>0</v>
      </c>
      <c r="V17" s="67">
        <f t="shared" ref="V17:V23" si="38">M17-N17-O17-Q17-R17-S17-T17</f>
        <v>0</v>
      </c>
      <c r="W17" s="65">
        <f t="shared" ref="W17:W23" si="39">IF(M17=0,0,V17/M17)</f>
        <v>0</v>
      </c>
      <c r="X17" s="67">
        <f t="shared" ref="X17:X23" si="40">M17*F17</f>
        <v>0</v>
      </c>
      <c r="Y17" s="67">
        <f t="shared" ref="Y17:Y23" si="41">$F17*U17</f>
        <v>0</v>
      </c>
      <c r="Z17" s="67">
        <f t="shared" ref="Z17:Z23" si="42">$F17*V17</f>
        <v>0</v>
      </c>
      <c r="AB17" s="3" t="str">
        <f t="shared" ref="AB17:AB24" si="43">H17&amp;C17&amp;D17</f>
        <v>Type invullenType invullenType invullen</v>
      </c>
      <c r="AD17" s="3" t="str">
        <f t="shared" ref="AD17:AD24" si="44">H17&amp;C17&amp;" "&amp;D17</f>
        <v>Type invullenType invullen Type invullen</v>
      </c>
      <c r="AE17" s="184">
        <f t="shared" ref="AE17:AE24" si="45">$F17*($H17=AE$14)*($C17=$AF$14)</f>
        <v>0</v>
      </c>
      <c r="AF17" s="184">
        <f t="shared" ref="AF17:AF24" si="46">$E17*($H17=AE$14)*($C17=$AF$14)</f>
        <v>0</v>
      </c>
      <c r="AG17" s="184">
        <f t="shared" ref="AG17:AG24" si="47">$G17*($H17=AE$14)*($C17=$AF$14)</f>
        <v>0</v>
      </c>
      <c r="AH17" s="188">
        <f t="shared" ref="AH17:AH24" si="48">$I17*$F17*($H17=AE$14)*($C17=$AF$14)</f>
        <v>0</v>
      </c>
      <c r="AI17" s="188">
        <f t="shared" ref="AI17:AI24" si="49">$I17*12*$F17*($C17=$AF$14)</f>
        <v>0</v>
      </c>
      <c r="AJ17" s="188">
        <f t="shared" ref="AJ17:AJ24" si="50">$X17*($H17=AE$14)*($C17=$AF$14)</f>
        <v>0</v>
      </c>
      <c r="AK17" s="188"/>
      <c r="AL17" s="188">
        <f t="shared" ref="AL17:AL24" si="51">$N17*$F17*($H17=AE$14)*($C17=$AF$14)</f>
        <v>0</v>
      </c>
      <c r="AM17" s="188">
        <f t="shared" ref="AM17:AM24" si="52">$O17*$E17*($H17=AE$14)*($C17=$AF$14)</f>
        <v>0</v>
      </c>
      <c r="AN17" s="188">
        <f t="shared" ref="AN17:AN24" si="53">$Q17*$F17*($H17=AE$14)*($C17=$AF$14)</f>
        <v>0</v>
      </c>
      <c r="AO17" s="188">
        <f t="shared" ref="AO17:AO24" si="54">$R17*$F17*($H17=AE$14)*($C17=$AF$14)</f>
        <v>0</v>
      </c>
      <c r="AP17" s="188">
        <f t="shared" ref="AP17:AP24" si="55">$S17*$F17*($H17=AE$14)*($C17=$AF$14)*($C17=$AF$14)</f>
        <v>0</v>
      </c>
      <c r="AQ17" s="188">
        <f t="shared" ref="AQ17:AQ24" si="56">$T17*$F17*($H17=AE$14)*($C17=$AF$14)</f>
        <v>0</v>
      </c>
      <c r="AR17" s="188">
        <f t="shared" ref="AR17:AR24" si="57">$Y17*($H17=AE$14)*($C17=$AF$14)</f>
        <v>0</v>
      </c>
      <c r="AS17" s="188">
        <f t="shared" ref="AS17:AS24" si="58">$Z17*($H17=AE$14)*($C17=$AF$14)</f>
        <v>0</v>
      </c>
      <c r="AU17" s="184">
        <f t="shared" ref="AU17:AU24" si="59">$F17*($H17=AU$14)*($C17=$AF$14)</f>
        <v>0</v>
      </c>
      <c r="AV17" s="184">
        <f t="shared" ref="AV17:AV24" si="60">$E17*($H17=AU$14)*($C17=$AF$14)</f>
        <v>0</v>
      </c>
      <c r="AW17" s="184">
        <f t="shared" ref="AW17:AW24" si="61">$G17*($H17=AU$14)*($C17=$AF$14)</f>
        <v>0</v>
      </c>
      <c r="AX17" s="188"/>
      <c r="AY17" s="188">
        <f t="shared" ref="AY17:AY24" si="62">$X17*($H17=AU$14)*($C17=$AF$14)</f>
        <v>0</v>
      </c>
      <c r="AZ17" s="188">
        <f t="shared" ref="AZ17:AZ24" si="63">$N17*$F17*($H17=AU$14)*($C17=$AF$14)</f>
        <v>0</v>
      </c>
      <c r="BA17" s="188">
        <f t="shared" ref="BA17:BA24" si="64">$O17*$F17*($H17=AU$14)*($C17=$AF$14)</f>
        <v>0</v>
      </c>
      <c r="BB17" s="188">
        <f t="shared" ref="BB17:BB24" si="65">$Q17*$F17*($H17=AU$14)*($C17=$AF$14)</f>
        <v>0</v>
      </c>
      <c r="BC17" s="188">
        <f t="shared" ref="BC17:BC24" si="66">$R17*$F17*($H17=AU$14)*($C17=$AF$14)</f>
        <v>0</v>
      </c>
      <c r="BD17" s="188">
        <f t="shared" ref="BD17:BD24" si="67">$S17*$F17*($H17=AU$14)*($C17=$AF$14)</f>
        <v>0</v>
      </c>
      <c r="BE17" s="188">
        <f t="shared" ref="BE17:BE24" si="68">$T17*$F17*($H17=AU$14)*($C17=$AF$14)</f>
        <v>0</v>
      </c>
      <c r="BF17" s="188">
        <f t="shared" ref="BF17:BF24" si="69">$Y17*($H17=AU$14)*($C17=$AF$14)</f>
        <v>0</v>
      </c>
      <c r="BG17" s="188">
        <f t="shared" ref="BG17:BG24" si="70">$Z17*($H17=AU$14)*($C17=$AF$14)</f>
        <v>0</v>
      </c>
      <c r="BI17" s="184">
        <f t="shared" ref="BI17:BI24" si="71">$F17*($H17=BI$14)*($C17=$BJ$14)</f>
        <v>0</v>
      </c>
      <c r="BJ17" s="184">
        <f t="shared" ref="BJ17:BJ24" si="72">$E17*($H17=BI$14)*($C17=$BJ$14)</f>
        <v>0</v>
      </c>
      <c r="BK17" s="184">
        <f t="shared" ref="BK17:BK24" si="73">$G17*($H17=BI$14)*($C17=$BJ$14)</f>
        <v>0</v>
      </c>
      <c r="BL17" s="188">
        <f t="shared" ref="BL17:BL24" si="74">$I17*$F17*($H17=BI$14)*($C17=$BJ$14)</f>
        <v>0</v>
      </c>
      <c r="BM17" s="188">
        <f t="shared" ref="BM17:BM24" si="75">$I17*12*$F17*($C17=$BJ$14)</f>
        <v>0</v>
      </c>
      <c r="BN17" s="188">
        <f t="shared" ref="BN17:BN24" si="76">$X17*($H17=BI$14)*($C17=$BJ$14)</f>
        <v>0</v>
      </c>
      <c r="BO17" s="188">
        <f t="shared" ref="BO17:BO24" si="77">$N17*$F17*($H17=BI$14)*($C17=$BJ$14)</f>
        <v>0</v>
      </c>
      <c r="BP17" s="188">
        <f t="shared" ref="BP17:BP24" si="78">$O17*$F17*($H17=BI$14)*($C17=$BJ$14)</f>
        <v>0</v>
      </c>
      <c r="BQ17" s="188">
        <f t="shared" ref="BQ17:BQ24" si="79">$Q17*$F17*($H17=BI$14)*($C17=$BJ$14)</f>
        <v>0</v>
      </c>
      <c r="BR17" s="188">
        <f t="shared" ref="BR17:BR24" si="80">$R17*$F17*($H17=BI$14)*($C17=$BJ$14)</f>
        <v>0</v>
      </c>
      <c r="BS17" s="188">
        <f t="shared" ref="BS17:BS24" si="81">$S17*$F17*($H17=BI$14)*($C17=$BJ$14)*($C17=$BJ$14)</f>
        <v>0</v>
      </c>
      <c r="BT17" s="188">
        <f t="shared" ref="BT17:BT24" si="82">$T17*$F17*($H17=BI$14)*($C17=$BJ$14)</f>
        <v>0</v>
      </c>
      <c r="BU17" s="188">
        <f t="shared" ref="BU17:BU24" si="83">$Y17*($H17=BI$14)*($C17=$BJ$14)</f>
        <v>0</v>
      </c>
      <c r="BV17" s="188">
        <f t="shared" ref="BV17:BV24" si="84">$Z17*($H17=BI$14)*($C17=$BJ$14)</f>
        <v>0</v>
      </c>
      <c r="BX17" s="184">
        <f t="shared" ref="BX17:BX24" si="85">$F17*($H17=BX$14)*($C17=$BY$14)</f>
        <v>0</v>
      </c>
      <c r="BY17" s="184">
        <f t="shared" ref="BY17:BY24" si="86">$E17*($H17=BX$14)*($C17=$BY$14)</f>
        <v>0</v>
      </c>
      <c r="BZ17" s="184">
        <f t="shared" ref="BZ17:BZ24" si="87">$G17*($H17=BX$14)*($C17=$BY$14)</f>
        <v>0</v>
      </c>
      <c r="CA17" s="188"/>
      <c r="CB17" s="188">
        <f t="shared" ref="CB17:CB24" si="88">$X17*($H17=BX$14)*($C17=$BY$14)</f>
        <v>0</v>
      </c>
      <c r="CC17" s="188">
        <f t="shared" ref="CC17:CC24" si="89">$N17*$F17*($H17=BX$14)*($C17=$BY$14)</f>
        <v>0</v>
      </c>
      <c r="CD17" s="188">
        <f t="shared" ref="CD17:CD24" si="90">$O17*$F17*($H17=BX$14)*($C17=$BY$14)</f>
        <v>0</v>
      </c>
      <c r="CE17" s="188">
        <f t="shared" ref="CE17:CE24" si="91">$Q17*$F17*($H17=BX$14)*($C17=$BY$14)</f>
        <v>0</v>
      </c>
      <c r="CF17" s="188">
        <f t="shared" ref="CF17:CF24" si="92">$R17*$F17*($H17=BX$14)*($C17=$BY$14)</f>
        <v>0</v>
      </c>
      <c r="CG17" s="188">
        <f t="shared" ref="CG17:CG24" si="93">$S17*$F17*($H17=BX$14)*($C17=$BY$14)</f>
        <v>0</v>
      </c>
      <c r="CH17" s="188">
        <f t="shared" ref="CH17:CH24" si="94">$T17*$F17*($H17=BX$14)*($C17=$BY$14)</f>
        <v>0</v>
      </c>
      <c r="CI17" s="188">
        <f t="shared" ref="CI17:CI24" si="95">$Y17*($H17=BX$14)*($C17=$BY$14)</f>
        <v>0</v>
      </c>
      <c r="CJ17" s="188">
        <f t="shared" ref="CJ17:CJ24" si="96">$Z17*($H17=BX$14)*($C17=$BY$14)</f>
        <v>0</v>
      </c>
    </row>
    <row r="18" spans="1:88" x14ac:dyDescent="0.2">
      <c r="A18" s="197"/>
      <c r="B18" s="186"/>
      <c r="C18" s="305" t="s">
        <v>77</v>
      </c>
      <c r="D18" s="305" t="s">
        <v>77</v>
      </c>
      <c r="E18" s="70">
        <f t="shared" ref="E18:E23" si="97">$F18*G18</f>
        <v>0</v>
      </c>
      <c r="F18" s="306"/>
      <c r="G18" s="306"/>
      <c r="H18" s="307" t="s">
        <v>77</v>
      </c>
      <c r="I18" s="308"/>
      <c r="J18" s="309"/>
      <c r="K18" s="310"/>
      <c r="L18" s="67">
        <f t="shared" ref="L18:L23" si="98">IF(H18="verhuur",IF(J18=0,0,(I18*12)/J18),K18)</f>
        <v>0</v>
      </c>
      <c r="M18" s="67">
        <f>L18/1.21</f>
        <v>0</v>
      </c>
      <c r="N18" s="310"/>
      <c r="O18" s="310"/>
      <c r="P18" s="216" t="s">
        <v>78</v>
      </c>
      <c r="Q18" s="310"/>
      <c r="R18" s="310"/>
      <c r="S18" s="310"/>
      <c r="T18" s="216"/>
      <c r="U18" s="67">
        <f t="shared" si="37"/>
        <v>0</v>
      </c>
      <c r="V18" s="67">
        <f t="shared" si="38"/>
        <v>0</v>
      </c>
      <c r="W18" s="65">
        <f t="shared" si="39"/>
        <v>0</v>
      </c>
      <c r="X18" s="67">
        <f t="shared" si="40"/>
        <v>0</v>
      </c>
      <c r="Y18" s="67">
        <f t="shared" si="41"/>
        <v>0</v>
      </c>
      <c r="Z18" s="67">
        <f t="shared" si="42"/>
        <v>0</v>
      </c>
      <c r="AB18" s="3" t="str">
        <f t="shared" si="43"/>
        <v>Type invullenType invullenType invullen</v>
      </c>
      <c r="AD18" s="3" t="str">
        <f t="shared" si="44"/>
        <v>Type invullenType invullen Type invullen</v>
      </c>
      <c r="AE18" s="184">
        <f t="shared" si="45"/>
        <v>0</v>
      </c>
      <c r="AF18" s="184">
        <f t="shared" si="46"/>
        <v>0</v>
      </c>
      <c r="AG18" s="184">
        <f t="shared" si="47"/>
        <v>0</v>
      </c>
      <c r="AH18" s="188">
        <f t="shared" si="48"/>
        <v>0</v>
      </c>
      <c r="AI18" s="188">
        <f t="shared" si="49"/>
        <v>0</v>
      </c>
      <c r="AJ18" s="188">
        <f t="shared" si="50"/>
        <v>0</v>
      </c>
      <c r="AK18" s="188"/>
      <c r="AL18" s="188">
        <f t="shared" si="51"/>
        <v>0</v>
      </c>
      <c r="AM18" s="188">
        <f t="shared" si="52"/>
        <v>0</v>
      </c>
      <c r="AN18" s="188">
        <f t="shared" si="53"/>
        <v>0</v>
      </c>
      <c r="AO18" s="188">
        <f t="shared" si="54"/>
        <v>0</v>
      </c>
      <c r="AP18" s="188">
        <f t="shared" si="55"/>
        <v>0</v>
      </c>
      <c r="AQ18" s="188">
        <f t="shared" si="56"/>
        <v>0</v>
      </c>
      <c r="AR18" s="188">
        <f t="shared" si="57"/>
        <v>0</v>
      </c>
      <c r="AS18" s="188">
        <f t="shared" si="58"/>
        <v>0</v>
      </c>
      <c r="AU18" s="184">
        <f t="shared" si="59"/>
        <v>0</v>
      </c>
      <c r="AV18" s="184">
        <f t="shared" si="60"/>
        <v>0</v>
      </c>
      <c r="AW18" s="184">
        <f t="shared" si="61"/>
        <v>0</v>
      </c>
      <c r="AX18" s="188"/>
      <c r="AY18" s="188">
        <f t="shared" si="62"/>
        <v>0</v>
      </c>
      <c r="AZ18" s="188">
        <f t="shared" si="63"/>
        <v>0</v>
      </c>
      <c r="BA18" s="188">
        <f t="shared" si="64"/>
        <v>0</v>
      </c>
      <c r="BB18" s="188">
        <f t="shared" si="65"/>
        <v>0</v>
      </c>
      <c r="BC18" s="188">
        <f t="shared" si="66"/>
        <v>0</v>
      </c>
      <c r="BD18" s="188">
        <f t="shared" si="67"/>
        <v>0</v>
      </c>
      <c r="BE18" s="188">
        <f t="shared" si="68"/>
        <v>0</v>
      </c>
      <c r="BF18" s="188">
        <f t="shared" si="69"/>
        <v>0</v>
      </c>
      <c r="BG18" s="188">
        <f t="shared" si="70"/>
        <v>0</v>
      </c>
      <c r="BI18" s="184">
        <f t="shared" si="71"/>
        <v>0</v>
      </c>
      <c r="BJ18" s="184">
        <f t="shared" si="72"/>
        <v>0</v>
      </c>
      <c r="BK18" s="184">
        <f t="shared" si="73"/>
        <v>0</v>
      </c>
      <c r="BL18" s="188">
        <f t="shared" si="74"/>
        <v>0</v>
      </c>
      <c r="BM18" s="188">
        <f t="shared" si="75"/>
        <v>0</v>
      </c>
      <c r="BN18" s="188">
        <f t="shared" si="76"/>
        <v>0</v>
      </c>
      <c r="BO18" s="188">
        <f t="shared" si="77"/>
        <v>0</v>
      </c>
      <c r="BP18" s="188">
        <f t="shared" si="78"/>
        <v>0</v>
      </c>
      <c r="BQ18" s="188">
        <f t="shared" si="79"/>
        <v>0</v>
      </c>
      <c r="BR18" s="188">
        <f t="shared" si="80"/>
        <v>0</v>
      </c>
      <c r="BS18" s="188">
        <f t="shared" si="81"/>
        <v>0</v>
      </c>
      <c r="BT18" s="188">
        <f t="shared" si="82"/>
        <v>0</v>
      </c>
      <c r="BU18" s="188">
        <f t="shared" si="83"/>
        <v>0</v>
      </c>
      <c r="BV18" s="188">
        <f t="shared" si="84"/>
        <v>0</v>
      </c>
      <c r="BX18" s="184">
        <f t="shared" si="85"/>
        <v>0</v>
      </c>
      <c r="BY18" s="184">
        <f t="shared" si="86"/>
        <v>0</v>
      </c>
      <c r="BZ18" s="184">
        <f t="shared" si="87"/>
        <v>0</v>
      </c>
      <c r="CA18" s="188"/>
      <c r="CB18" s="188">
        <f t="shared" si="88"/>
        <v>0</v>
      </c>
      <c r="CC18" s="188">
        <f t="shared" si="89"/>
        <v>0</v>
      </c>
      <c r="CD18" s="188">
        <f t="shared" si="90"/>
        <v>0</v>
      </c>
      <c r="CE18" s="188">
        <f t="shared" si="91"/>
        <v>0</v>
      </c>
      <c r="CF18" s="188">
        <f t="shared" si="92"/>
        <v>0</v>
      </c>
      <c r="CG18" s="188">
        <f t="shared" si="93"/>
        <v>0</v>
      </c>
      <c r="CH18" s="188">
        <f t="shared" si="94"/>
        <v>0</v>
      </c>
      <c r="CI18" s="188">
        <f t="shared" si="95"/>
        <v>0</v>
      </c>
      <c r="CJ18" s="188">
        <f t="shared" si="96"/>
        <v>0</v>
      </c>
    </row>
    <row r="19" spans="1:88" x14ac:dyDescent="0.2">
      <c r="A19" s="197"/>
      <c r="B19" s="186"/>
      <c r="C19" s="305" t="s">
        <v>77</v>
      </c>
      <c r="D19" s="305" t="s">
        <v>77</v>
      </c>
      <c r="E19" s="70">
        <f t="shared" si="97"/>
        <v>0</v>
      </c>
      <c r="F19" s="306"/>
      <c r="G19" s="306"/>
      <c r="H19" s="307" t="s">
        <v>77</v>
      </c>
      <c r="I19" s="308"/>
      <c r="J19" s="309"/>
      <c r="K19" s="310"/>
      <c r="L19" s="67">
        <f t="shared" si="98"/>
        <v>0</v>
      </c>
      <c r="M19" s="67">
        <f>L19/1.21</f>
        <v>0</v>
      </c>
      <c r="N19" s="310"/>
      <c r="O19" s="310"/>
      <c r="P19" s="216" t="s">
        <v>78</v>
      </c>
      <c r="Q19" s="310"/>
      <c r="R19" s="310"/>
      <c r="S19" s="310"/>
      <c r="T19" s="216"/>
      <c r="U19" s="67">
        <f t="shared" si="37"/>
        <v>0</v>
      </c>
      <c r="V19" s="67">
        <f t="shared" si="38"/>
        <v>0</v>
      </c>
      <c r="W19" s="65">
        <f t="shared" si="39"/>
        <v>0</v>
      </c>
      <c r="X19" s="67">
        <f t="shared" si="40"/>
        <v>0</v>
      </c>
      <c r="Y19" s="67">
        <f t="shared" si="41"/>
        <v>0</v>
      </c>
      <c r="Z19" s="67">
        <f t="shared" si="42"/>
        <v>0</v>
      </c>
      <c r="AB19" s="3" t="str">
        <f t="shared" si="43"/>
        <v>Type invullenType invullenType invullen</v>
      </c>
      <c r="AD19" s="3" t="str">
        <f t="shared" si="44"/>
        <v>Type invullenType invullen Type invullen</v>
      </c>
      <c r="AE19" s="184">
        <f t="shared" si="45"/>
        <v>0</v>
      </c>
      <c r="AF19" s="184">
        <f t="shared" si="46"/>
        <v>0</v>
      </c>
      <c r="AG19" s="184">
        <f t="shared" si="47"/>
        <v>0</v>
      </c>
      <c r="AH19" s="188">
        <f t="shared" si="48"/>
        <v>0</v>
      </c>
      <c r="AI19" s="188">
        <f t="shared" si="49"/>
        <v>0</v>
      </c>
      <c r="AJ19" s="188">
        <f t="shared" si="50"/>
        <v>0</v>
      </c>
      <c r="AK19" s="188"/>
      <c r="AL19" s="188">
        <f t="shared" si="51"/>
        <v>0</v>
      </c>
      <c r="AM19" s="188">
        <f t="shared" si="52"/>
        <v>0</v>
      </c>
      <c r="AN19" s="188">
        <f t="shared" si="53"/>
        <v>0</v>
      </c>
      <c r="AO19" s="188">
        <f t="shared" si="54"/>
        <v>0</v>
      </c>
      <c r="AP19" s="188">
        <f t="shared" si="55"/>
        <v>0</v>
      </c>
      <c r="AQ19" s="188">
        <f t="shared" si="56"/>
        <v>0</v>
      </c>
      <c r="AR19" s="188">
        <f t="shared" si="57"/>
        <v>0</v>
      </c>
      <c r="AS19" s="188">
        <f t="shared" si="58"/>
        <v>0</v>
      </c>
      <c r="AU19" s="184">
        <f t="shared" si="59"/>
        <v>0</v>
      </c>
      <c r="AV19" s="184">
        <f t="shared" si="60"/>
        <v>0</v>
      </c>
      <c r="AW19" s="184">
        <f t="shared" si="61"/>
        <v>0</v>
      </c>
      <c r="AX19" s="188"/>
      <c r="AY19" s="188">
        <f>$X19*($H19=AU$14)*($C19=$AF$14)</f>
        <v>0</v>
      </c>
      <c r="AZ19" s="188">
        <f t="shared" si="63"/>
        <v>0</v>
      </c>
      <c r="BA19" s="188">
        <f t="shared" si="64"/>
        <v>0</v>
      </c>
      <c r="BB19" s="188">
        <f t="shared" si="65"/>
        <v>0</v>
      </c>
      <c r="BC19" s="188">
        <f t="shared" si="66"/>
        <v>0</v>
      </c>
      <c r="BD19" s="188">
        <f t="shared" si="67"/>
        <v>0</v>
      </c>
      <c r="BE19" s="188">
        <f t="shared" si="68"/>
        <v>0</v>
      </c>
      <c r="BF19" s="188">
        <f t="shared" si="69"/>
        <v>0</v>
      </c>
      <c r="BG19" s="188">
        <f t="shared" si="70"/>
        <v>0</v>
      </c>
      <c r="BI19" s="184">
        <f t="shared" si="71"/>
        <v>0</v>
      </c>
      <c r="BJ19" s="184">
        <f t="shared" si="72"/>
        <v>0</v>
      </c>
      <c r="BK19" s="184">
        <f t="shared" si="73"/>
        <v>0</v>
      </c>
      <c r="BL19" s="188">
        <f t="shared" si="74"/>
        <v>0</v>
      </c>
      <c r="BM19" s="188">
        <f t="shared" si="75"/>
        <v>0</v>
      </c>
      <c r="BN19" s="188">
        <f t="shared" si="76"/>
        <v>0</v>
      </c>
      <c r="BO19" s="188">
        <f t="shared" si="77"/>
        <v>0</v>
      </c>
      <c r="BP19" s="188">
        <f t="shared" si="78"/>
        <v>0</v>
      </c>
      <c r="BQ19" s="188">
        <f t="shared" si="79"/>
        <v>0</v>
      </c>
      <c r="BR19" s="188">
        <f t="shared" si="80"/>
        <v>0</v>
      </c>
      <c r="BS19" s="188">
        <f t="shared" si="81"/>
        <v>0</v>
      </c>
      <c r="BT19" s="188">
        <f t="shared" si="82"/>
        <v>0</v>
      </c>
      <c r="BU19" s="188">
        <f t="shared" si="83"/>
        <v>0</v>
      </c>
      <c r="BV19" s="188">
        <f t="shared" si="84"/>
        <v>0</v>
      </c>
      <c r="BX19" s="184">
        <f t="shared" si="85"/>
        <v>0</v>
      </c>
      <c r="BY19" s="184">
        <f t="shared" si="86"/>
        <v>0</v>
      </c>
      <c r="BZ19" s="184">
        <f t="shared" si="87"/>
        <v>0</v>
      </c>
      <c r="CA19" s="188"/>
      <c r="CB19" s="188">
        <f t="shared" si="88"/>
        <v>0</v>
      </c>
      <c r="CC19" s="188">
        <f t="shared" si="89"/>
        <v>0</v>
      </c>
      <c r="CD19" s="188">
        <f t="shared" si="90"/>
        <v>0</v>
      </c>
      <c r="CE19" s="188">
        <f t="shared" si="91"/>
        <v>0</v>
      </c>
      <c r="CF19" s="188">
        <f t="shared" si="92"/>
        <v>0</v>
      </c>
      <c r="CG19" s="188">
        <f t="shared" si="93"/>
        <v>0</v>
      </c>
      <c r="CH19" s="188">
        <f t="shared" si="94"/>
        <v>0</v>
      </c>
      <c r="CI19" s="188">
        <f t="shared" si="95"/>
        <v>0</v>
      </c>
      <c r="CJ19" s="188">
        <f t="shared" si="96"/>
        <v>0</v>
      </c>
    </row>
    <row r="20" spans="1:88" x14ac:dyDescent="0.2">
      <c r="A20" s="197"/>
      <c r="B20" s="186"/>
      <c r="C20" s="305" t="s">
        <v>77</v>
      </c>
      <c r="D20" s="305" t="s">
        <v>77</v>
      </c>
      <c r="E20" s="70">
        <f t="shared" si="97"/>
        <v>0</v>
      </c>
      <c r="F20" s="306"/>
      <c r="G20" s="306"/>
      <c r="H20" s="307" t="s">
        <v>77</v>
      </c>
      <c r="I20" s="308"/>
      <c r="J20" s="309"/>
      <c r="K20" s="310"/>
      <c r="L20" s="67">
        <f t="shared" si="98"/>
        <v>0</v>
      </c>
      <c r="M20" s="67">
        <f t="shared" ref="M20:M23" si="99">L20/1.21</f>
        <v>0</v>
      </c>
      <c r="N20" s="310"/>
      <c r="O20" s="310"/>
      <c r="P20" s="216" t="s">
        <v>78</v>
      </c>
      <c r="Q20" s="310"/>
      <c r="R20" s="310"/>
      <c r="S20" s="310"/>
      <c r="T20" s="216"/>
      <c r="U20" s="311">
        <f t="shared" si="37"/>
        <v>0</v>
      </c>
      <c r="V20" s="311">
        <f t="shared" si="38"/>
        <v>0</v>
      </c>
      <c r="W20" s="313">
        <f t="shared" si="39"/>
        <v>0</v>
      </c>
      <c r="X20" s="311">
        <f t="shared" si="40"/>
        <v>0</v>
      </c>
      <c r="Y20" s="311">
        <f t="shared" si="41"/>
        <v>0</v>
      </c>
      <c r="Z20" s="311">
        <f t="shared" si="42"/>
        <v>0</v>
      </c>
      <c r="AB20" s="3" t="str">
        <f t="shared" si="43"/>
        <v>Type invullenType invullenType invullen</v>
      </c>
      <c r="AD20" s="3" t="str">
        <f t="shared" si="44"/>
        <v>Type invullenType invullen Type invullen</v>
      </c>
      <c r="AE20" s="184">
        <f t="shared" si="45"/>
        <v>0</v>
      </c>
      <c r="AF20" s="184">
        <f t="shared" si="46"/>
        <v>0</v>
      </c>
      <c r="AG20" s="184">
        <f t="shared" si="47"/>
        <v>0</v>
      </c>
      <c r="AH20" s="188">
        <f t="shared" si="48"/>
        <v>0</v>
      </c>
      <c r="AI20" s="188">
        <f t="shared" si="49"/>
        <v>0</v>
      </c>
      <c r="AJ20" s="188">
        <f t="shared" si="50"/>
        <v>0</v>
      </c>
      <c r="AK20" s="188"/>
      <c r="AL20" s="188">
        <f t="shared" si="51"/>
        <v>0</v>
      </c>
      <c r="AM20" s="188">
        <f t="shared" si="52"/>
        <v>0</v>
      </c>
      <c r="AN20" s="188">
        <f t="shared" si="53"/>
        <v>0</v>
      </c>
      <c r="AO20" s="188">
        <f t="shared" si="54"/>
        <v>0</v>
      </c>
      <c r="AP20" s="188">
        <f t="shared" si="55"/>
        <v>0</v>
      </c>
      <c r="AQ20" s="188">
        <f t="shared" si="56"/>
        <v>0</v>
      </c>
      <c r="AR20" s="188">
        <f t="shared" si="57"/>
        <v>0</v>
      </c>
      <c r="AS20" s="188">
        <f t="shared" si="58"/>
        <v>0</v>
      </c>
      <c r="AU20" s="184">
        <f t="shared" si="59"/>
        <v>0</v>
      </c>
      <c r="AV20" s="184">
        <f t="shared" si="60"/>
        <v>0</v>
      </c>
      <c r="AW20" s="184">
        <f t="shared" si="61"/>
        <v>0</v>
      </c>
      <c r="AX20" s="188"/>
      <c r="AY20" s="188">
        <f>$X20*($H20=AU$14)*($C20=$AF$14)</f>
        <v>0</v>
      </c>
      <c r="AZ20" s="188">
        <f t="shared" si="63"/>
        <v>0</v>
      </c>
      <c r="BA20" s="188">
        <f t="shared" si="64"/>
        <v>0</v>
      </c>
      <c r="BB20" s="188">
        <f t="shared" si="65"/>
        <v>0</v>
      </c>
      <c r="BC20" s="188">
        <f t="shared" si="66"/>
        <v>0</v>
      </c>
      <c r="BD20" s="188">
        <f t="shared" si="67"/>
        <v>0</v>
      </c>
      <c r="BE20" s="188">
        <f t="shared" si="68"/>
        <v>0</v>
      </c>
      <c r="BF20" s="188">
        <f t="shared" si="69"/>
        <v>0</v>
      </c>
      <c r="BG20" s="188">
        <f t="shared" si="70"/>
        <v>0</v>
      </c>
      <c r="BI20" s="184">
        <f t="shared" si="71"/>
        <v>0</v>
      </c>
      <c r="BJ20" s="184">
        <f t="shared" si="72"/>
        <v>0</v>
      </c>
      <c r="BK20" s="184">
        <f t="shared" si="73"/>
        <v>0</v>
      </c>
      <c r="BL20" s="188">
        <f t="shared" si="74"/>
        <v>0</v>
      </c>
      <c r="BM20" s="188">
        <f t="shared" si="75"/>
        <v>0</v>
      </c>
      <c r="BN20" s="188">
        <f t="shared" si="76"/>
        <v>0</v>
      </c>
      <c r="BO20" s="188">
        <f t="shared" si="77"/>
        <v>0</v>
      </c>
      <c r="BP20" s="188">
        <f t="shared" si="78"/>
        <v>0</v>
      </c>
      <c r="BQ20" s="188">
        <f t="shared" si="79"/>
        <v>0</v>
      </c>
      <c r="BR20" s="188">
        <f t="shared" si="80"/>
        <v>0</v>
      </c>
      <c r="BS20" s="188">
        <f t="shared" si="81"/>
        <v>0</v>
      </c>
      <c r="BT20" s="188">
        <f t="shared" si="82"/>
        <v>0</v>
      </c>
      <c r="BU20" s="188">
        <f t="shared" si="83"/>
        <v>0</v>
      </c>
      <c r="BV20" s="188">
        <f t="shared" si="84"/>
        <v>0</v>
      </c>
      <c r="BX20" s="184">
        <f t="shared" si="85"/>
        <v>0</v>
      </c>
      <c r="BY20" s="184">
        <f t="shared" si="86"/>
        <v>0</v>
      </c>
      <c r="BZ20" s="184">
        <f t="shared" si="87"/>
        <v>0</v>
      </c>
      <c r="CA20" s="188"/>
      <c r="CB20" s="188">
        <f t="shared" si="88"/>
        <v>0</v>
      </c>
      <c r="CC20" s="188">
        <f t="shared" si="89"/>
        <v>0</v>
      </c>
      <c r="CD20" s="188">
        <f t="shared" si="90"/>
        <v>0</v>
      </c>
      <c r="CE20" s="188">
        <f t="shared" si="91"/>
        <v>0</v>
      </c>
      <c r="CF20" s="188">
        <f t="shared" si="92"/>
        <v>0</v>
      </c>
      <c r="CG20" s="188">
        <f t="shared" si="93"/>
        <v>0</v>
      </c>
      <c r="CH20" s="188">
        <f t="shared" si="94"/>
        <v>0</v>
      </c>
      <c r="CI20" s="188">
        <f t="shared" si="95"/>
        <v>0</v>
      </c>
      <c r="CJ20" s="188">
        <f t="shared" si="96"/>
        <v>0</v>
      </c>
    </row>
    <row r="21" spans="1:88" x14ac:dyDescent="0.2">
      <c r="A21" s="197"/>
      <c r="B21" s="186"/>
      <c r="C21" s="305" t="s">
        <v>77</v>
      </c>
      <c r="D21" s="305" t="s">
        <v>77</v>
      </c>
      <c r="E21" s="70">
        <f t="shared" si="97"/>
        <v>0</v>
      </c>
      <c r="F21" s="306"/>
      <c r="G21" s="306"/>
      <c r="H21" s="307" t="s">
        <v>77</v>
      </c>
      <c r="I21" s="308"/>
      <c r="J21" s="309"/>
      <c r="K21" s="310"/>
      <c r="L21" s="67">
        <f t="shared" si="98"/>
        <v>0</v>
      </c>
      <c r="M21" s="67">
        <f t="shared" si="99"/>
        <v>0</v>
      </c>
      <c r="N21" s="310"/>
      <c r="O21" s="310"/>
      <c r="P21" s="216" t="s">
        <v>78</v>
      </c>
      <c r="Q21" s="310"/>
      <c r="R21" s="310"/>
      <c r="S21" s="310"/>
      <c r="T21" s="216"/>
      <c r="U21" s="311">
        <f t="shared" si="37"/>
        <v>0</v>
      </c>
      <c r="V21" s="311">
        <f t="shared" si="38"/>
        <v>0</v>
      </c>
      <c r="W21" s="313">
        <f t="shared" si="39"/>
        <v>0</v>
      </c>
      <c r="X21" s="311">
        <f t="shared" si="40"/>
        <v>0</v>
      </c>
      <c r="Y21" s="311">
        <f t="shared" si="41"/>
        <v>0</v>
      </c>
      <c r="Z21" s="311">
        <f t="shared" si="42"/>
        <v>0</v>
      </c>
      <c r="AB21" s="3" t="str">
        <f t="shared" si="43"/>
        <v>Type invullenType invullenType invullen</v>
      </c>
      <c r="AD21" s="3" t="str">
        <f t="shared" si="44"/>
        <v>Type invullenType invullen Type invullen</v>
      </c>
      <c r="AE21" s="184">
        <f t="shared" si="45"/>
        <v>0</v>
      </c>
      <c r="AF21" s="184">
        <f t="shared" si="46"/>
        <v>0</v>
      </c>
      <c r="AG21" s="184">
        <f t="shared" si="47"/>
        <v>0</v>
      </c>
      <c r="AH21" s="188">
        <f t="shared" si="48"/>
        <v>0</v>
      </c>
      <c r="AI21" s="188">
        <f t="shared" si="49"/>
        <v>0</v>
      </c>
      <c r="AJ21" s="188">
        <f t="shared" si="50"/>
        <v>0</v>
      </c>
      <c r="AK21" s="188"/>
      <c r="AL21" s="188">
        <f t="shared" si="51"/>
        <v>0</v>
      </c>
      <c r="AM21" s="188">
        <f t="shared" si="52"/>
        <v>0</v>
      </c>
      <c r="AN21" s="188">
        <f t="shared" si="53"/>
        <v>0</v>
      </c>
      <c r="AO21" s="188">
        <f t="shared" si="54"/>
        <v>0</v>
      </c>
      <c r="AP21" s="188">
        <f t="shared" si="55"/>
        <v>0</v>
      </c>
      <c r="AQ21" s="188">
        <f t="shared" si="56"/>
        <v>0</v>
      </c>
      <c r="AR21" s="188">
        <f t="shared" si="57"/>
        <v>0</v>
      </c>
      <c r="AS21" s="188">
        <f t="shared" si="58"/>
        <v>0</v>
      </c>
      <c r="AU21" s="184">
        <f t="shared" si="59"/>
        <v>0</v>
      </c>
      <c r="AV21" s="184">
        <f t="shared" si="60"/>
        <v>0</v>
      </c>
      <c r="AW21" s="184">
        <f t="shared" si="61"/>
        <v>0</v>
      </c>
      <c r="AX21" s="188"/>
      <c r="AY21" s="188">
        <f t="shared" si="62"/>
        <v>0</v>
      </c>
      <c r="AZ21" s="188">
        <f t="shared" si="63"/>
        <v>0</v>
      </c>
      <c r="BA21" s="188">
        <f t="shared" si="64"/>
        <v>0</v>
      </c>
      <c r="BB21" s="188">
        <f t="shared" si="65"/>
        <v>0</v>
      </c>
      <c r="BC21" s="188">
        <f t="shared" si="66"/>
        <v>0</v>
      </c>
      <c r="BD21" s="188">
        <f t="shared" si="67"/>
        <v>0</v>
      </c>
      <c r="BE21" s="188">
        <f t="shared" si="68"/>
        <v>0</v>
      </c>
      <c r="BF21" s="188">
        <f t="shared" si="69"/>
        <v>0</v>
      </c>
      <c r="BG21" s="188">
        <f t="shared" si="70"/>
        <v>0</v>
      </c>
      <c r="BI21" s="184">
        <f t="shared" si="71"/>
        <v>0</v>
      </c>
      <c r="BJ21" s="184">
        <f t="shared" si="72"/>
        <v>0</v>
      </c>
      <c r="BK21" s="184">
        <f t="shared" si="73"/>
        <v>0</v>
      </c>
      <c r="BL21" s="188">
        <f t="shared" si="74"/>
        <v>0</v>
      </c>
      <c r="BM21" s="188">
        <f t="shared" si="75"/>
        <v>0</v>
      </c>
      <c r="BN21" s="188">
        <f t="shared" si="76"/>
        <v>0</v>
      </c>
      <c r="BO21" s="188">
        <f t="shared" si="77"/>
        <v>0</v>
      </c>
      <c r="BP21" s="188">
        <f t="shared" si="78"/>
        <v>0</v>
      </c>
      <c r="BQ21" s="188">
        <f t="shared" si="79"/>
        <v>0</v>
      </c>
      <c r="BR21" s="188">
        <f t="shared" si="80"/>
        <v>0</v>
      </c>
      <c r="BS21" s="188">
        <f t="shared" si="81"/>
        <v>0</v>
      </c>
      <c r="BT21" s="188">
        <f t="shared" si="82"/>
        <v>0</v>
      </c>
      <c r="BU21" s="188">
        <f t="shared" si="83"/>
        <v>0</v>
      </c>
      <c r="BV21" s="188">
        <f t="shared" si="84"/>
        <v>0</v>
      </c>
      <c r="BX21" s="184">
        <f t="shared" si="85"/>
        <v>0</v>
      </c>
      <c r="BY21" s="184">
        <f t="shared" si="86"/>
        <v>0</v>
      </c>
      <c r="BZ21" s="184">
        <f t="shared" si="87"/>
        <v>0</v>
      </c>
      <c r="CA21" s="188"/>
      <c r="CB21" s="188">
        <f t="shared" si="88"/>
        <v>0</v>
      </c>
      <c r="CC21" s="188">
        <f t="shared" si="89"/>
        <v>0</v>
      </c>
      <c r="CD21" s="188">
        <f t="shared" si="90"/>
        <v>0</v>
      </c>
      <c r="CE21" s="188">
        <f t="shared" si="91"/>
        <v>0</v>
      </c>
      <c r="CF21" s="188">
        <f t="shared" si="92"/>
        <v>0</v>
      </c>
      <c r="CG21" s="188">
        <f t="shared" si="93"/>
        <v>0</v>
      </c>
      <c r="CH21" s="188">
        <f t="shared" si="94"/>
        <v>0</v>
      </c>
      <c r="CI21" s="188">
        <f t="shared" si="95"/>
        <v>0</v>
      </c>
      <c r="CJ21" s="188">
        <f t="shared" si="96"/>
        <v>0</v>
      </c>
    </row>
    <row r="22" spans="1:88" x14ac:dyDescent="0.2">
      <c r="A22" s="197"/>
      <c r="B22" s="186"/>
      <c r="C22" s="305" t="s">
        <v>77</v>
      </c>
      <c r="D22" s="305" t="s">
        <v>77</v>
      </c>
      <c r="E22" s="70">
        <f t="shared" si="97"/>
        <v>0</v>
      </c>
      <c r="F22" s="306"/>
      <c r="G22" s="306"/>
      <c r="H22" s="307" t="s">
        <v>77</v>
      </c>
      <c r="I22" s="308"/>
      <c r="J22" s="309"/>
      <c r="K22" s="310"/>
      <c r="L22" s="67">
        <f t="shared" si="98"/>
        <v>0</v>
      </c>
      <c r="M22" s="67">
        <f t="shared" si="99"/>
        <v>0</v>
      </c>
      <c r="N22" s="310"/>
      <c r="O22" s="310"/>
      <c r="P22" s="216" t="s">
        <v>78</v>
      </c>
      <c r="Q22" s="310"/>
      <c r="R22" s="310"/>
      <c r="S22" s="310"/>
      <c r="T22" s="216"/>
      <c r="U22" s="311">
        <f t="shared" si="37"/>
        <v>0</v>
      </c>
      <c r="V22" s="311">
        <f t="shared" si="38"/>
        <v>0</v>
      </c>
      <c r="W22" s="313">
        <f t="shared" si="39"/>
        <v>0</v>
      </c>
      <c r="X22" s="311">
        <f t="shared" si="40"/>
        <v>0</v>
      </c>
      <c r="Y22" s="311">
        <f t="shared" si="41"/>
        <v>0</v>
      </c>
      <c r="Z22" s="311">
        <f t="shared" si="42"/>
        <v>0</v>
      </c>
      <c r="AB22" s="3" t="str">
        <f t="shared" si="43"/>
        <v>Type invullenType invullenType invullen</v>
      </c>
      <c r="AD22" s="3" t="str">
        <f t="shared" si="44"/>
        <v>Type invullenType invullen Type invullen</v>
      </c>
      <c r="AE22" s="184">
        <f t="shared" si="45"/>
        <v>0</v>
      </c>
      <c r="AF22" s="184">
        <f t="shared" si="46"/>
        <v>0</v>
      </c>
      <c r="AG22" s="184">
        <f t="shared" si="47"/>
        <v>0</v>
      </c>
      <c r="AH22" s="188">
        <f t="shared" si="48"/>
        <v>0</v>
      </c>
      <c r="AI22" s="188">
        <f t="shared" si="49"/>
        <v>0</v>
      </c>
      <c r="AJ22" s="188">
        <f t="shared" si="50"/>
        <v>0</v>
      </c>
      <c r="AK22" s="188"/>
      <c r="AL22" s="188">
        <f t="shared" si="51"/>
        <v>0</v>
      </c>
      <c r="AM22" s="188">
        <f t="shared" si="52"/>
        <v>0</v>
      </c>
      <c r="AN22" s="188">
        <f t="shared" si="53"/>
        <v>0</v>
      </c>
      <c r="AO22" s="188">
        <f t="shared" si="54"/>
        <v>0</v>
      </c>
      <c r="AP22" s="188">
        <f t="shared" si="55"/>
        <v>0</v>
      </c>
      <c r="AQ22" s="188">
        <f t="shared" si="56"/>
        <v>0</v>
      </c>
      <c r="AR22" s="188">
        <f t="shared" si="57"/>
        <v>0</v>
      </c>
      <c r="AS22" s="188">
        <f t="shared" si="58"/>
        <v>0</v>
      </c>
      <c r="AU22" s="184">
        <f t="shared" si="59"/>
        <v>0</v>
      </c>
      <c r="AV22" s="184">
        <f t="shared" si="60"/>
        <v>0</v>
      </c>
      <c r="AW22" s="184">
        <f t="shared" si="61"/>
        <v>0</v>
      </c>
      <c r="AX22" s="188"/>
      <c r="AY22" s="188">
        <f t="shared" si="62"/>
        <v>0</v>
      </c>
      <c r="AZ22" s="188">
        <f t="shared" si="63"/>
        <v>0</v>
      </c>
      <c r="BA22" s="188">
        <f t="shared" si="64"/>
        <v>0</v>
      </c>
      <c r="BB22" s="188">
        <f t="shared" si="65"/>
        <v>0</v>
      </c>
      <c r="BC22" s="188">
        <f t="shared" si="66"/>
        <v>0</v>
      </c>
      <c r="BD22" s="188">
        <f t="shared" si="67"/>
        <v>0</v>
      </c>
      <c r="BE22" s="188">
        <f t="shared" si="68"/>
        <v>0</v>
      </c>
      <c r="BF22" s="188">
        <f t="shared" si="69"/>
        <v>0</v>
      </c>
      <c r="BG22" s="188">
        <f t="shared" si="70"/>
        <v>0</v>
      </c>
      <c r="BI22" s="184">
        <f t="shared" si="71"/>
        <v>0</v>
      </c>
      <c r="BJ22" s="184">
        <f t="shared" si="72"/>
        <v>0</v>
      </c>
      <c r="BK22" s="184">
        <f t="shared" si="73"/>
        <v>0</v>
      </c>
      <c r="BL22" s="188">
        <f t="shared" si="74"/>
        <v>0</v>
      </c>
      <c r="BM22" s="188">
        <f t="shared" si="75"/>
        <v>0</v>
      </c>
      <c r="BN22" s="188">
        <f t="shared" si="76"/>
        <v>0</v>
      </c>
      <c r="BO22" s="188">
        <f t="shared" si="77"/>
        <v>0</v>
      </c>
      <c r="BP22" s="188">
        <f t="shared" si="78"/>
        <v>0</v>
      </c>
      <c r="BQ22" s="188">
        <f t="shared" si="79"/>
        <v>0</v>
      </c>
      <c r="BR22" s="188">
        <f t="shared" si="80"/>
        <v>0</v>
      </c>
      <c r="BS22" s="188">
        <f t="shared" si="81"/>
        <v>0</v>
      </c>
      <c r="BT22" s="188">
        <f t="shared" si="82"/>
        <v>0</v>
      </c>
      <c r="BU22" s="188">
        <f t="shared" si="83"/>
        <v>0</v>
      </c>
      <c r="BV22" s="188">
        <f t="shared" si="84"/>
        <v>0</v>
      </c>
      <c r="BX22" s="184">
        <f t="shared" si="85"/>
        <v>0</v>
      </c>
      <c r="BY22" s="184">
        <f t="shared" si="86"/>
        <v>0</v>
      </c>
      <c r="BZ22" s="184">
        <f t="shared" si="87"/>
        <v>0</v>
      </c>
      <c r="CA22" s="188"/>
      <c r="CB22" s="188">
        <f t="shared" si="88"/>
        <v>0</v>
      </c>
      <c r="CC22" s="188">
        <f t="shared" si="89"/>
        <v>0</v>
      </c>
      <c r="CD22" s="188">
        <f t="shared" si="90"/>
        <v>0</v>
      </c>
      <c r="CE22" s="188">
        <f t="shared" si="91"/>
        <v>0</v>
      </c>
      <c r="CF22" s="188">
        <f t="shared" si="92"/>
        <v>0</v>
      </c>
      <c r="CG22" s="188">
        <f t="shared" si="93"/>
        <v>0</v>
      </c>
      <c r="CH22" s="188">
        <f t="shared" si="94"/>
        <v>0</v>
      </c>
      <c r="CI22" s="188">
        <f t="shared" si="95"/>
        <v>0</v>
      </c>
      <c r="CJ22" s="188">
        <f t="shared" si="96"/>
        <v>0</v>
      </c>
    </row>
    <row r="23" spans="1:88" x14ac:dyDescent="0.2">
      <c r="A23" s="197"/>
      <c r="B23" s="186"/>
      <c r="C23" s="305" t="s">
        <v>77</v>
      </c>
      <c r="D23" s="305" t="s">
        <v>77</v>
      </c>
      <c r="E23" s="70">
        <f t="shared" si="97"/>
        <v>0</v>
      </c>
      <c r="F23" s="306"/>
      <c r="G23" s="306"/>
      <c r="H23" s="307" t="s">
        <v>77</v>
      </c>
      <c r="I23" s="308"/>
      <c r="J23" s="309"/>
      <c r="K23" s="310"/>
      <c r="L23" s="67">
        <f t="shared" si="98"/>
        <v>0</v>
      </c>
      <c r="M23" s="67">
        <f t="shared" si="99"/>
        <v>0</v>
      </c>
      <c r="N23" s="310"/>
      <c r="O23" s="310"/>
      <c r="P23" s="216" t="s">
        <v>78</v>
      </c>
      <c r="Q23" s="310"/>
      <c r="R23" s="310"/>
      <c r="S23" s="310"/>
      <c r="T23" s="216"/>
      <c r="U23" s="311">
        <f t="shared" si="37"/>
        <v>0</v>
      </c>
      <c r="V23" s="311">
        <f t="shared" si="38"/>
        <v>0</v>
      </c>
      <c r="W23" s="313">
        <f t="shared" si="39"/>
        <v>0</v>
      </c>
      <c r="X23" s="311">
        <f t="shared" si="40"/>
        <v>0</v>
      </c>
      <c r="Y23" s="311">
        <f t="shared" si="41"/>
        <v>0</v>
      </c>
      <c r="Z23" s="311">
        <f t="shared" si="42"/>
        <v>0</v>
      </c>
      <c r="AB23" s="3" t="str">
        <f t="shared" si="43"/>
        <v>Type invullenType invullenType invullen</v>
      </c>
      <c r="AD23" s="3" t="str">
        <f t="shared" si="44"/>
        <v>Type invullenType invullen Type invullen</v>
      </c>
      <c r="AE23" s="184">
        <f t="shared" si="45"/>
        <v>0</v>
      </c>
      <c r="AF23" s="184">
        <f t="shared" si="46"/>
        <v>0</v>
      </c>
      <c r="AG23" s="184">
        <f t="shared" si="47"/>
        <v>0</v>
      </c>
      <c r="AH23" s="188">
        <f t="shared" si="48"/>
        <v>0</v>
      </c>
      <c r="AI23" s="188">
        <f t="shared" si="49"/>
        <v>0</v>
      </c>
      <c r="AJ23" s="188">
        <f t="shared" si="50"/>
        <v>0</v>
      </c>
      <c r="AK23" s="188"/>
      <c r="AL23" s="188">
        <f t="shared" si="51"/>
        <v>0</v>
      </c>
      <c r="AM23" s="188">
        <f t="shared" si="52"/>
        <v>0</v>
      </c>
      <c r="AN23" s="188">
        <f t="shared" si="53"/>
        <v>0</v>
      </c>
      <c r="AO23" s="188">
        <f t="shared" si="54"/>
        <v>0</v>
      </c>
      <c r="AP23" s="188">
        <f t="shared" si="55"/>
        <v>0</v>
      </c>
      <c r="AQ23" s="188">
        <f t="shared" si="56"/>
        <v>0</v>
      </c>
      <c r="AR23" s="188">
        <f t="shared" si="57"/>
        <v>0</v>
      </c>
      <c r="AS23" s="188">
        <f t="shared" si="58"/>
        <v>0</v>
      </c>
      <c r="AU23" s="184">
        <f t="shared" si="59"/>
        <v>0</v>
      </c>
      <c r="AV23" s="184">
        <f t="shared" si="60"/>
        <v>0</v>
      </c>
      <c r="AW23" s="184">
        <f t="shared" si="61"/>
        <v>0</v>
      </c>
      <c r="AX23" s="188"/>
      <c r="AY23" s="188">
        <f t="shared" si="62"/>
        <v>0</v>
      </c>
      <c r="AZ23" s="188">
        <f t="shared" si="63"/>
        <v>0</v>
      </c>
      <c r="BA23" s="188">
        <f t="shared" si="64"/>
        <v>0</v>
      </c>
      <c r="BB23" s="188">
        <f t="shared" si="65"/>
        <v>0</v>
      </c>
      <c r="BC23" s="188">
        <f t="shared" si="66"/>
        <v>0</v>
      </c>
      <c r="BD23" s="188">
        <f t="shared" si="67"/>
        <v>0</v>
      </c>
      <c r="BE23" s="188">
        <f t="shared" si="68"/>
        <v>0</v>
      </c>
      <c r="BF23" s="188">
        <f t="shared" si="69"/>
        <v>0</v>
      </c>
      <c r="BG23" s="188">
        <f t="shared" si="70"/>
        <v>0</v>
      </c>
      <c r="BI23" s="184">
        <f t="shared" si="71"/>
        <v>0</v>
      </c>
      <c r="BJ23" s="184">
        <f t="shared" si="72"/>
        <v>0</v>
      </c>
      <c r="BK23" s="184">
        <f t="shared" si="73"/>
        <v>0</v>
      </c>
      <c r="BL23" s="188">
        <f t="shared" si="74"/>
        <v>0</v>
      </c>
      <c r="BM23" s="188">
        <f t="shared" si="75"/>
        <v>0</v>
      </c>
      <c r="BN23" s="188">
        <f t="shared" si="76"/>
        <v>0</v>
      </c>
      <c r="BO23" s="188">
        <f t="shared" si="77"/>
        <v>0</v>
      </c>
      <c r="BP23" s="188">
        <f t="shared" si="78"/>
        <v>0</v>
      </c>
      <c r="BQ23" s="188">
        <f t="shared" si="79"/>
        <v>0</v>
      </c>
      <c r="BR23" s="188">
        <f t="shared" si="80"/>
        <v>0</v>
      </c>
      <c r="BS23" s="188">
        <f t="shared" si="81"/>
        <v>0</v>
      </c>
      <c r="BT23" s="188">
        <f t="shared" si="82"/>
        <v>0</v>
      </c>
      <c r="BU23" s="188">
        <f t="shared" si="83"/>
        <v>0</v>
      </c>
      <c r="BV23" s="188">
        <f t="shared" si="84"/>
        <v>0</v>
      </c>
      <c r="BX23" s="184">
        <f t="shared" si="85"/>
        <v>0</v>
      </c>
      <c r="BY23" s="184">
        <f t="shared" si="86"/>
        <v>0</v>
      </c>
      <c r="BZ23" s="184">
        <f t="shared" si="87"/>
        <v>0</v>
      </c>
      <c r="CA23" s="188"/>
      <c r="CB23" s="188">
        <f t="shared" si="88"/>
        <v>0</v>
      </c>
      <c r="CC23" s="188">
        <f t="shared" si="89"/>
        <v>0</v>
      </c>
      <c r="CD23" s="188">
        <f t="shared" si="90"/>
        <v>0</v>
      </c>
      <c r="CE23" s="188">
        <f t="shared" si="91"/>
        <v>0</v>
      </c>
      <c r="CF23" s="188">
        <f t="shared" si="92"/>
        <v>0</v>
      </c>
      <c r="CG23" s="188">
        <f t="shared" si="93"/>
        <v>0</v>
      </c>
      <c r="CH23" s="188">
        <f t="shared" si="94"/>
        <v>0</v>
      </c>
      <c r="CI23" s="188">
        <f t="shared" si="95"/>
        <v>0</v>
      </c>
      <c r="CJ23" s="188">
        <f t="shared" si="96"/>
        <v>0</v>
      </c>
    </row>
    <row r="24" spans="1:88" s="55" customFormat="1" ht="16" thickBot="1" x14ac:dyDescent="0.25">
      <c r="A24" s="48"/>
      <c r="B24" s="49"/>
      <c r="C24" s="49"/>
      <c r="D24" s="49"/>
      <c r="E24" s="173"/>
      <c r="F24" s="165"/>
      <c r="G24" s="168"/>
      <c r="H24" s="50"/>
      <c r="I24" s="169"/>
      <c r="J24" s="170"/>
      <c r="K24" s="169"/>
      <c r="L24" s="171"/>
      <c r="M24" s="171"/>
      <c r="N24" s="169"/>
      <c r="O24" s="169"/>
      <c r="P24" s="169"/>
      <c r="Q24" s="171"/>
      <c r="R24" s="169"/>
      <c r="S24" s="171"/>
      <c r="T24" s="171"/>
      <c r="U24" s="171"/>
      <c r="V24" s="171"/>
      <c r="W24" s="172"/>
      <c r="X24" s="171"/>
      <c r="Y24" s="171"/>
      <c r="Z24" s="171"/>
      <c r="AA24" s="15"/>
      <c r="AB24" s="3" t="str">
        <f t="shared" si="43"/>
        <v/>
      </c>
      <c r="AC24" s="3"/>
      <c r="AD24" s="3" t="str">
        <f t="shared" si="44"/>
        <v xml:space="preserve"> </v>
      </c>
      <c r="AE24" s="184">
        <f t="shared" si="45"/>
        <v>0</v>
      </c>
      <c r="AF24" s="184">
        <f t="shared" si="46"/>
        <v>0</v>
      </c>
      <c r="AG24" s="184">
        <f t="shared" si="47"/>
        <v>0</v>
      </c>
      <c r="AH24" s="188">
        <f t="shared" si="48"/>
        <v>0</v>
      </c>
      <c r="AI24" s="188">
        <f t="shared" si="49"/>
        <v>0</v>
      </c>
      <c r="AJ24" s="188">
        <f t="shared" si="50"/>
        <v>0</v>
      </c>
      <c r="AK24" s="188"/>
      <c r="AL24" s="188">
        <f t="shared" si="51"/>
        <v>0</v>
      </c>
      <c r="AM24" s="188">
        <f t="shared" si="52"/>
        <v>0</v>
      </c>
      <c r="AN24" s="188">
        <f t="shared" si="53"/>
        <v>0</v>
      </c>
      <c r="AO24" s="188">
        <f t="shared" si="54"/>
        <v>0</v>
      </c>
      <c r="AP24" s="188">
        <f t="shared" si="55"/>
        <v>0</v>
      </c>
      <c r="AQ24" s="188">
        <f t="shared" si="56"/>
        <v>0</v>
      </c>
      <c r="AR24" s="188">
        <f t="shared" si="57"/>
        <v>0</v>
      </c>
      <c r="AS24" s="188">
        <f t="shared" si="58"/>
        <v>0</v>
      </c>
      <c r="AT24" s="2"/>
      <c r="AU24" s="184">
        <f t="shared" si="59"/>
        <v>0</v>
      </c>
      <c r="AV24" s="184">
        <f t="shared" si="60"/>
        <v>0</v>
      </c>
      <c r="AW24" s="184">
        <f t="shared" si="61"/>
        <v>0</v>
      </c>
      <c r="AX24" s="188"/>
      <c r="AY24" s="188">
        <f t="shared" si="62"/>
        <v>0</v>
      </c>
      <c r="AZ24" s="188">
        <f t="shared" si="63"/>
        <v>0</v>
      </c>
      <c r="BA24" s="188">
        <f t="shared" si="64"/>
        <v>0</v>
      </c>
      <c r="BB24" s="188">
        <f t="shared" si="65"/>
        <v>0</v>
      </c>
      <c r="BC24" s="188">
        <f t="shared" si="66"/>
        <v>0</v>
      </c>
      <c r="BD24" s="188">
        <f t="shared" si="67"/>
        <v>0</v>
      </c>
      <c r="BE24" s="188">
        <f t="shared" si="68"/>
        <v>0</v>
      </c>
      <c r="BF24" s="188">
        <f t="shared" si="69"/>
        <v>0</v>
      </c>
      <c r="BG24" s="188">
        <f t="shared" si="70"/>
        <v>0</v>
      </c>
      <c r="BH24" s="2"/>
      <c r="BI24" s="184">
        <f t="shared" si="71"/>
        <v>0</v>
      </c>
      <c r="BJ24" s="184">
        <f t="shared" si="72"/>
        <v>0</v>
      </c>
      <c r="BK24" s="184">
        <f t="shared" si="73"/>
        <v>0</v>
      </c>
      <c r="BL24" s="188">
        <f t="shared" si="74"/>
        <v>0</v>
      </c>
      <c r="BM24" s="188">
        <f t="shared" si="75"/>
        <v>0</v>
      </c>
      <c r="BN24" s="188">
        <f t="shared" si="76"/>
        <v>0</v>
      </c>
      <c r="BO24" s="188">
        <f t="shared" si="77"/>
        <v>0</v>
      </c>
      <c r="BP24" s="188">
        <f t="shared" si="78"/>
        <v>0</v>
      </c>
      <c r="BQ24" s="188">
        <f t="shared" si="79"/>
        <v>0</v>
      </c>
      <c r="BR24" s="188">
        <f t="shared" si="80"/>
        <v>0</v>
      </c>
      <c r="BS24" s="188">
        <f t="shared" si="81"/>
        <v>0</v>
      </c>
      <c r="BT24" s="188">
        <f t="shared" si="82"/>
        <v>0</v>
      </c>
      <c r="BU24" s="188">
        <f t="shared" si="83"/>
        <v>0</v>
      </c>
      <c r="BV24" s="188">
        <f t="shared" si="84"/>
        <v>0</v>
      </c>
      <c r="BW24" s="2"/>
      <c r="BX24" s="184">
        <f t="shared" si="85"/>
        <v>0</v>
      </c>
      <c r="BY24" s="184">
        <f t="shared" si="86"/>
        <v>0</v>
      </c>
      <c r="BZ24" s="184">
        <f t="shared" si="87"/>
        <v>0</v>
      </c>
      <c r="CA24" s="188"/>
      <c r="CB24" s="188">
        <f t="shared" si="88"/>
        <v>0</v>
      </c>
      <c r="CC24" s="188">
        <f t="shared" si="89"/>
        <v>0</v>
      </c>
      <c r="CD24" s="188">
        <f t="shared" si="90"/>
        <v>0</v>
      </c>
      <c r="CE24" s="188">
        <f t="shared" si="91"/>
        <v>0</v>
      </c>
      <c r="CF24" s="188">
        <f t="shared" si="92"/>
        <v>0</v>
      </c>
      <c r="CG24" s="188">
        <f t="shared" si="93"/>
        <v>0</v>
      </c>
      <c r="CH24" s="188">
        <f t="shared" si="94"/>
        <v>0</v>
      </c>
      <c r="CI24" s="188">
        <f t="shared" si="95"/>
        <v>0</v>
      </c>
      <c r="CJ24" s="188">
        <f t="shared" si="96"/>
        <v>0</v>
      </c>
    </row>
    <row r="25" spans="1:88" ht="17" thickTop="1" thickBot="1" x14ac:dyDescent="0.25">
      <c r="A25" s="51" t="s">
        <v>79</v>
      </c>
      <c r="B25" s="52"/>
      <c r="C25" s="52"/>
      <c r="D25" s="52"/>
      <c r="E25" s="177"/>
      <c r="F25" s="174">
        <f>SUM(F16:F24)</f>
        <v>0</v>
      </c>
      <c r="G25" s="177"/>
      <c r="H25" s="53"/>
      <c r="I25" s="178"/>
      <c r="J25" s="179"/>
      <c r="K25" s="178"/>
      <c r="L25" s="178">
        <f>SUMPRODUCT(L$16:L$24,$F$16:$F$24)</f>
        <v>0</v>
      </c>
      <c r="M25" s="178">
        <f>SUMPRODUCT(M$16:M$24,$F$16:$F$24)</f>
        <v>0</v>
      </c>
      <c r="N25" s="178">
        <f>SUMPRODUCT(N$16:N$24,$F$16:$F$24)</f>
        <v>0</v>
      </c>
      <c r="O25" s="178">
        <f>SUMPRODUCT(O$16:O$24,$F$16:$F$24)</f>
        <v>0</v>
      </c>
      <c r="P25" s="178"/>
      <c r="Q25" s="178">
        <f t="shared" ref="Q25:V25" si="100">SUMPRODUCT(Q$16:Q$24,$F$16:$F$24)</f>
        <v>0</v>
      </c>
      <c r="R25" s="178">
        <f t="shared" si="100"/>
        <v>0</v>
      </c>
      <c r="S25" s="178">
        <f t="shared" si="100"/>
        <v>0</v>
      </c>
      <c r="T25" s="178">
        <f t="shared" si="100"/>
        <v>0</v>
      </c>
      <c r="U25" s="178">
        <f t="shared" si="100"/>
        <v>0</v>
      </c>
      <c r="V25" s="178">
        <f t="shared" si="100"/>
        <v>0</v>
      </c>
      <c r="W25" s="176"/>
      <c r="X25" s="178">
        <f>SUM(X16:X24)</f>
        <v>0</v>
      </c>
      <c r="Y25" s="178">
        <f>SUM(Y16:Y24)</f>
        <v>0</v>
      </c>
      <c r="Z25" s="178">
        <f>SUM(Z16:Z24)</f>
        <v>0</v>
      </c>
      <c r="AE25" s="184"/>
      <c r="AF25" s="184"/>
      <c r="AG25" s="184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U25" s="184"/>
      <c r="AV25" s="184"/>
      <c r="AW25" s="184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I25" s="184"/>
      <c r="BJ25" s="184"/>
      <c r="BK25" s="184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X25" s="184"/>
      <c r="BY25" s="184"/>
      <c r="BZ25" s="184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</row>
    <row r="26" spans="1:88" ht="16" thickTop="1" x14ac:dyDescent="0.2">
      <c r="D26" s="3"/>
      <c r="I26" s="57"/>
      <c r="J26" s="160"/>
      <c r="K26" s="180"/>
      <c r="L26" s="180"/>
      <c r="M26" s="180"/>
      <c r="N26" s="57"/>
      <c r="O26" s="57"/>
      <c r="P26" s="57"/>
      <c r="Q26" s="57"/>
      <c r="R26" s="57"/>
      <c r="S26" s="57"/>
      <c r="T26" s="57"/>
      <c r="U26" s="57"/>
      <c r="W26" s="161"/>
      <c r="X26" s="83"/>
      <c r="Y26" s="83"/>
      <c r="Z26" s="83"/>
      <c r="AI26" s="55"/>
      <c r="AJ26" s="55"/>
      <c r="AK26" s="55"/>
    </row>
    <row r="27" spans="1:88" x14ac:dyDescent="0.2">
      <c r="A27" s="3" t="str">
        <f>"Versie "&amp;Titelblad!$B$11</f>
        <v>Versie 1.0</v>
      </c>
      <c r="L27" s="57"/>
      <c r="M27" s="57"/>
    </row>
    <row r="28" spans="1:88" x14ac:dyDescent="0.2">
      <c r="A28" s="3" t="str">
        <f>"Versiedatum: "&amp;TEXT(Titelblad!$B$12,"dd mmmm jjjj")</f>
        <v>Versiedatum: datum</v>
      </c>
      <c r="L28" s="57"/>
      <c r="M28" s="57"/>
    </row>
    <row r="29" spans="1:88" x14ac:dyDescent="0.2">
      <c r="K29" s="148"/>
      <c r="L29" s="148"/>
      <c r="M29" s="148"/>
    </row>
    <row r="30" spans="1:88" x14ac:dyDescent="0.2">
      <c r="B30" s="337" t="s">
        <v>84</v>
      </c>
      <c r="C30" s="337"/>
      <c r="D30" s="337"/>
      <c r="E30" s="337"/>
      <c r="F30" s="337"/>
      <c r="G30" s="337"/>
      <c r="H30" s="337"/>
      <c r="K30" s="160"/>
    </row>
    <row r="31" spans="1:88" x14ac:dyDescent="0.2">
      <c r="J31" s="203"/>
    </row>
    <row r="205" spans="1:59" hidden="1" x14ac:dyDescent="0.2">
      <c r="A205" s="3" t="s">
        <v>141</v>
      </c>
    </row>
    <row r="206" spans="1:59" hidden="1" x14ac:dyDescent="0.2">
      <c r="A206" s="185" t="s">
        <v>53</v>
      </c>
      <c r="B206" s="186" t="s">
        <v>93</v>
      </c>
      <c r="C206" s="186" t="s">
        <v>77</v>
      </c>
      <c r="D206" s="213"/>
      <c r="E206" s="214">
        <v>0</v>
      </c>
      <c r="F206" s="164">
        <f>IF(E206=0,0,G206/E206)</f>
        <v>0</v>
      </c>
      <c r="G206" s="187">
        <v>0</v>
      </c>
      <c r="H206" s="215" t="s">
        <v>77</v>
      </c>
      <c r="I206" s="211">
        <v>0</v>
      </c>
      <c r="J206" s="212">
        <v>0</v>
      </c>
      <c r="K206" s="211">
        <v>0</v>
      </c>
      <c r="L206" s="67">
        <f>IF(G206=0,0,IF(H206="verhuur",IF(J206=0,0,I206/J206),K206/G206))</f>
        <v>0</v>
      </c>
      <c r="M206" s="211"/>
      <c r="N206" s="211">
        <v>0</v>
      </c>
      <c r="O206" s="211">
        <v>0</v>
      </c>
      <c r="P206" s="211" t="s">
        <v>78</v>
      </c>
      <c r="Q206" s="211">
        <v>0</v>
      </c>
      <c r="R206" s="211">
        <v>0</v>
      </c>
      <c r="S206" s="211">
        <v>0</v>
      </c>
      <c r="T206" s="211">
        <v>0</v>
      </c>
      <c r="U206" s="67">
        <f>SUM(N206:T206)</f>
        <v>0</v>
      </c>
      <c r="V206" s="67">
        <f>L206-N206-O206-Q206-R206-S206-T206</f>
        <v>0</v>
      </c>
      <c r="W206" s="65">
        <f>IF(L206=0,0,V206/L206)</f>
        <v>0</v>
      </c>
      <c r="X206" s="67">
        <f>G206*L206</f>
        <v>0</v>
      </c>
      <c r="Y206" s="67">
        <f>E206*U206</f>
        <v>0</v>
      </c>
      <c r="Z206" s="67">
        <f>X206-Y206</f>
        <v>0</v>
      </c>
      <c r="AB206" s="3" t="str">
        <f>C206</f>
        <v>Type invullen</v>
      </c>
      <c r="AC206" s="3" t="str">
        <f t="shared" ref="AC206" si="101">AB206&amp;H206</f>
        <v>Type invullenType invullen</v>
      </c>
      <c r="AF206" s="184">
        <f>$E206*($H206=$AE$4)</f>
        <v>0</v>
      </c>
      <c r="AG206" s="184">
        <f>$G206*($H206=$AE$4)</f>
        <v>0</v>
      </c>
      <c r="AH206" s="188">
        <f>$I206*$G206*($H206=$AE$4)</f>
        <v>0</v>
      </c>
      <c r="AI206" s="188"/>
      <c r="AJ206" s="188">
        <f>($H206="verhuur")*$X206</f>
        <v>0</v>
      </c>
      <c r="AK206" s="188">
        <f>($H206="verkoop")*$X206</f>
        <v>0</v>
      </c>
      <c r="AL206" s="188">
        <f>$N206*$E206*($H206=$AE$4)</f>
        <v>0</v>
      </c>
      <c r="AM206" s="188">
        <f>$O206*$E206*($H206=$AE$4)</f>
        <v>0</v>
      </c>
      <c r="AN206" s="188">
        <f>$Q206*$E206*($H206=$AE$4)</f>
        <v>0</v>
      </c>
      <c r="AO206" s="188">
        <f>$R206*$E206*($H206=$AE$4)</f>
        <v>0</v>
      </c>
      <c r="AP206" s="188">
        <f>$S206*$E206*($H206=$AE$4)</f>
        <v>0</v>
      </c>
      <c r="AQ206" s="188">
        <f>$T206*$E206*($H206=$AE$4)</f>
        <v>0</v>
      </c>
      <c r="AR206" s="188">
        <f>$Y206*($H206=$AE$4)</f>
        <v>0</v>
      </c>
      <c r="AS206" s="188">
        <f>$Z206*($H206=$AE$4)</f>
        <v>0</v>
      </c>
      <c r="AV206" s="184">
        <f>$E206*($H206=$AU$4)</f>
        <v>0</v>
      </c>
      <c r="AW206" s="184">
        <f>$G206*($H206=$AU$4)</f>
        <v>0</v>
      </c>
      <c r="AX206" s="188"/>
      <c r="AY206" s="188">
        <f>$X206*($H206=$AU$4)</f>
        <v>0</v>
      </c>
      <c r="AZ206" s="188">
        <f>$N206*$E206*($H206=$AU$4)</f>
        <v>0</v>
      </c>
      <c r="BA206" s="188">
        <f>$O206*$E206*($H206=$AU$4)</f>
        <v>0</v>
      </c>
      <c r="BB206" s="188">
        <f>$Q206*$E206*($H206=$AU$4)</f>
        <v>0</v>
      </c>
      <c r="BC206" s="188">
        <f>$R206*$E206*($H206=$AU$4)</f>
        <v>0</v>
      </c>
      <c r="BD206" s="188">
        <f>$S206*$E206*($H206=$AU$4)</f>
        <v>0</v>
      </c>
      <c r="BE206" s="188">
        <f>$T206*$E206*($H206=$AU$4)</f>
        <v>0</v>
      </c>
      <c r="BF206" s="188">
        <f>$Y206*($H206=$AU$4)</f>
        <v>0</v>
      </c>
      <c r="BG206" s="188">
        <f>$Z206*($H206=$AU$4)</f>
        <v>0</v>
      </c>
    </row>
    <row r="207" spans="1:59" hidden="1" x14ac:dyDescent="0.2">
      <c r="K207" s="2"/>
    </row>
    <row r="208" spans="1:59" hidden="1" x14ac:dyDescent="0.2">
      <c r="K208" s="2"/>
    </row>
    <row r="209" spans="1:88" hidden="1" x14ac:dyDescent="0.2">
      <c r="A209" s="3" t="s">
        <v>123</v>
      </c>
      <c r="K209" s="2"/>
    </row>
    <row r="210" spans="1:88" hidden="1" x14ac:dyDescent="0.2">
      <c r="A210" s="197" t="s">
        <v>142</v>
      </c>
      <c r="B210" s="186" t="s">
        <v>93</v>
      </c>
      <c r="C210" s="199" t="s">
        <v>77</v>
      </c>
      <c r="D210" s="199" t="s">
        <v>77</v>
      </c>
      <c r="E210" s="70">
        <f>$F210*G210</f>
        <v>0</v>
      </c>
      <c r="F210" s="288">
        <v>0</v>
      </c>
      <c r="G210" s="288">
        <v>0</v>
      </c>
      <c r="H210" s="215" t="s">
        <v>77</v>
      </c>
      <c r="I210" s="211">
        <v>0</v>
      </c>
      <c r="J210" s="212">
        <v>0</v>
      </c>
      <c r="K210" s="216">
        <v>0</v>
      </c>
      <c r="L210" s="67">
        <f>IF(H210="verhuur",IF(J210=0,0,(I210*12)/J210),K210)</f>
        <v>0</v>
      </c>
      <c r="M210" s="67">
        <f>L210/1.21</f>
        <v>0</v>
      </c>
      <c r="N210" s="216">
        <v>0</v>
      </c>
      <c r="O210" s="216">
        <v>0</v>
      </c>
      <c r="P210" s="216" t="s">
        <v>78</v>
      </c>
      <c r="Q210" s="216">
        <v>0</v>
      </c>
      <c r="R210" s="216">
        <v>0</v>
      </c>
      <c r="S210" s="216">
        <v>0</v>
      </c>
      <c r="T210" s="216">
        <v>0</v>
      </c>
      <c r="U210" s="67">
        <f>SUM(N210:T210)</f>
        <v>0</v>
      </c>
      <c r="V210" s="67">
        <f>M210-N210-O210-Q210-R210-S210-T210</f>
        <v>0</v>
      </c>
      <c r="W210" s="65">
        <f>IF(M210=0,0,V210/M210)</f>
        <v>0</v>
      </c>
      <c r="X210" s="67">
        <f>M210*F210</f>
        <v>0</v>
      </c>
      <c r="Y210" s="67">
        <f t="shared" ref="Y210" si="102">$F210*U210</f>
        <v>0</v>
      </c>
      <c r="Z210" s="67">
        <f t="shared" ref="Z210" si="103">$F210*V210</f>
        <v>0</v>
      </c>
      <c r="AB210" s="3" t="str">
        <f>H210&amp;C210&amp;D210</f>
        <v>Type invullenType invullenType invullen</v>
      </c>
      <c r="AD210" s="3" t="str">
        <f>H210&amp;C210&amp;" "&amp;D210</f>
        <v>Type invullenType invullen Type invullen</v>
      </c>
      <c r="AE210" s="184">
        <f>$F210*($H210=AE$14)*($C210=$AF$14)</f>
        <v>0</v>
      </c>
      <c r="AF210" s="184">
        <f>$E210*($H210=AE$14)*($C210=$AF$14)</f>
        <v>0</v>
      </c>
      <c r="AG210" s="184">
        <f>$G210*($H210=AE$14)*($C210=$AF$14)</f>
        <v>0</v>
      </c>
      <c r="AH210" s="188">
        <f>$I210*$F210*($H210=AE$14)*($C210=$AF$14)</f>
        <v>0</v>
      </c>
      <c r="AI210" s="188">
        <f>$I210*12*$F210*($C210=$AF$14)</f>
        <v>0</v>
      </c>
      <c r="AJ210" s="188">
        <f>$X210*($H210=AE$14)*($C210=$AF$14)</f>
        <v>0</v>
      </c>
      <c r="AK210" s="188"/>
      <c r="AL210" s="188">
        <f>$N210*$F210*($H210=AE$14)*($C210=$AF$14)</f>
        <v>0</v>
      </c>
      <c r="AM210" s="188">
        <f>$O210*$E210*($H210=AE$14)*($C210=$AF$14)</f>
        <v>0</v>
      </c>
      <c r="AN210" s="188">
        <f>$Q210*$F210*($H210=AE$14)*($C210=$AF$14)</f>
        <v>0</v>
      </c>
      <c r="AO210" s="188">
        <f>$R210*$F210*($H210=AE$14)*($C210=$AF$14)</f>
        <v>0</v>
      </c>
      <c r="AP210" s="188">
        <f>$S210*$F210*($H210=AE$14)*($C210=$AF$14)*($C210=$AF$14)</f>
        <v>0</v>
      </c>
      <c r="AQ210" s="188">
        <f>$T210*$F210*($H210=AE$14)*($C210=$AF$14)</f>
        <v>0</v>
      </c>
      <c r="AR210" s="188">
        <f>$Y210*($H210=AE$14)*($C210=$AF$14)</f>
        <v>0</v>
      </c>
      <c r="AS210" s="188">
        <f>$Z210*($H210=AE$14)*($C210=$AF$14)</f>
        <v>0</v>
      </c>
      <c r="AU210" s="184">
        <f>$F210*($H210=AU$14)*($C210=$AF$14)</f>
        <v>0</v>
      </c>
      <c r="AV210" s="184">
        <f>$E210*($H210=AU$14)*($C210=$AF$14)</f>
        <v>0</v>
      </c>
      <c r="AW210" s="184">
        <f>$G210*($H210=AU$14)*($C210=$AF$14)</f>
        <v>0</v>
      </c>
      <c r="AX210" s="188"/>
      <c r="AY210" s="188">
        <f>$X210*($H210=AU$14)*($C210=$AF$14)</f>
        <v>0</v>
      </c>
      <c r="AZ210" s="188">
        <f>$N210*$F210*($H210=AU$14)*($C210=$AF$14)</f>
        <v>0</v>
      </c>
      <c r="BA210" s="188">
        <f>$O210*$F210*($H210=AU$14)*($C210=$AF$14)</f>
        <v>0</v>
      </c>
      <c r="BB210" s="188">
        <f>$Q210*$F210*($H210=AU$14)*($C210=$AF$14)</f>
        <v>0</v>
      </c>
      <c r="BC210" s="188">
        <f>$R210*$F210*($H210=AU$14)*($C210=$AF$14)</f>
        <v>0</v>
      </c>
      <c r="BD210" s="188">
        <f>$S210*$F210*($H210=AU$14)*($C210=$AF$14)</f>
        <v>0</v>
      </c>
      <c r="BE210" s="188">
        <f>$T210*$F210*($H210=AU$14)*($C210=$AF$14)</f>
        <v>0</v>
      </c>
      <c r="BF210" s="188">
        <f>$Y210*($H210=AU$14)*($C210=$AF$14)</f>
        <v>0</v>
      </c>
      <c r="BG210" s="188">
        <f>$Z210*($H210=AU$14)*($C210=$AF$14)</f>
        <v>0</v>
      </c>
      <c r="BI210" s="184">
        <f>$F210*($H210=BI$14)*($C210=$BJ$14)</f>
        <v>0</v>
      </c>
      <c r="BJ210" s="184">
        <f>$E210*($H210=BI$14)*($C210=$BJ$14)</f>
        <v>0</v>
      </c>
      <c r="BK210" s="184">
        <f>$G210*($H210=BI$14)*($C210=$BJ$14)</f>
        <v>0</v>
      </c>
      <c r="BL210" s="188">
        <f>$I210*$F210*($H210=BI$14)*($C210=$BJ$14)</f>
        <v>0</v>
      </c>
      <c r="BM210" s="188">
        <f>$I210*12*$F210*($C210=$BJ$14)</f>
        <v>0</v>
      </c>
      <c r="BN210" s="188">
        <f>$X210*($H210=BI$14)*($C210=$BJ$14)</f>
        <v>0</v>
      </c>
      <c r="BO210" s="188">
        <f>$N210*$F210*($H210=BI$14)*($C210=$BJ$14)</f>
        <v>0</v>
      </c>
      <c r="BP210" s="188">
        <f>$O210*$F210*($H210=BI$14)*($C210=$BJ$14)</f>
        <v>0</v>
      </c>
      <c r="BQ210" s="188">
        <f>$Q210*$F210*($H210=BI$14)*($C210=$BJ$14)</f>
        <v>0</v>
      </c>
      <c r="BR210" s="188">
        <f>$R210*$F210*($H210=BI$14)*($C210=$BJ$14)</f>
        <v>0</v>
      </c>
      <c r="BS210" s="188">
        <f>$S210*$F210*($H210=BI$14)*($C210=$BJ$14)*($C210=$BJ$14)</f>
        <v>0</v>
      </c>
      <c r="BT210" s="188">
        <f>$T210*$F210*($H210=BI$14)*($C210=$BJ$14)</f>
        <v>0</v>
      </c>
      <c r="BU210" s="188">
        <f>$Y210*($H210=BI$14)*($C210=$BJ$14)</f>
        <v>0</v>
      </c>
      <c r="BV210" s="188">
        <f>$Z210*($H210=BI$14)*($C210=$BJ$14)</f>
        <v>0</v>
      </c>
      <c r="BX210" s="184">
        <f>$F210*($H210=BX$14)*($C210=$BY$14)</f>
        <v>0</v>
      </c>
      <c r="BY210" s="184">
        <f>$E210*($H210=BX$14)*($C210=$BY$14)</f>
        <v>0</v>
      </c>
      <c r="BZ210" s="184">
        <f>$G210*($H210=BX$14)*($C210=$BY$14)</f>
        <v>0</v>
      </c>
      <c r="CA210" s="188"/>
      <c r="CB210" s="188">
        <f>$X210*($H210=BX$14)*($C210=$BY$14)</f>
        <v>0</v>
      </c>
      <c r="CC210" s="188">
        <f>$N210*$F210*($H210=BX$14)*($C210=$BY$14)</f>
        <v>0</v>
      </c>
      <c r="CD210" s="188">
        <f>$O210*$F210*($H210=BX$14)*($C210=$BY$14)</f>
        <v>0</v>
      </c>
      <c r="CE210" s="188">
        <f>$Q210*$F210*($H210=BX$14)*($C210=$BY$14)</f>
        <v>0</v>
      </c>
      <c r="CF210" s="188">
        <f>$R210*$F210*($H210=BX$14)*($C210=$BY$14)</f>
        <v>0</v>
      </c>
      <c r="CG210" s="188">
        <f>$S210*$F210*($H210=BX$14)*($C210=$BY$14)</f>
        <v>0</v>
      </c>
      <c r="CH210" s="188">
        <f>$T210*$F210*($H210=BX$14)*($C210=$BY$14)</f>
        <v>0</v>
      </c>
      <c r="CI210" s="188">
        <f>$Y210*($H210=BX$14)*($C210=$BY$14)</f>
        <v>0</v>
      </c>
      <c r="CJ210" s="188">
        <f>$Z210*($H210=BX$14)*($C210=$BY$14)</f>
        <v>0</v>
      </c>
    </row>
  </sheetData>
  <sheetProtection formatColumns="0" formatRows="0"/>
  <mergeCells count="1">
    <mergeCell ref="B30:H30"/>
  </mergeCells>
  <conditionalFormatting sqref="I6:J10">
    <cfRule type="expression" dxfId="4" priority="25">
      <formula>$H6&lt;&gt;"verhuur"</formula>
    </cfRule>
  </conditionalFormatting>
  <conditionalFormatting sqref="K6:K10">
    <cfRule type="expression" dxfId="3" priority="23">
      <formula>$H6&lt;&gt;"verkoop"</formula>
    </cfRule>
  </conditionalFormatting>
  <conditionalFormatting sqref="I206:J206">
    <cfRule type="expression" dxfId="2" priority="20">
      <formula>$H206&lt;&gt;"verhuur"</formula>
    </cfRule>
  </conditionalFormatting>
  <conditionalFormatting sqref="I210:J210">
    <cfRule type="expression" dxfId="1" priority="18">
      <formula>$H210&lt;&gt;"verhuur"</formula>
    </cfRule>
  </conditionalFormatting>
  <conditionalFormatting sqref="I16:J23">
    <cfRule type="expression" dxfId="0" priority="10">
      <formula>$H16&lt;&gt;"verhuur"</formula>
    </cfRule>
  </conditionalFormatting>
  <pageMargins left="0.7" right="0.7" top="0.75" bottom="0.75" header="0.3" footer="0.3"/>
  <pageSetup paperSize="8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50A9CB-79C8-4540-8C17-305389669B30}">
          <x14:formula1>
            <xm:f>hulp!$J$5:$J$6</xm:f>
          </x14:formula1>
          <xm:sqref>H6:H10</xm:sqref>
        </x14:dataValidation>
        <x14:dataValidation type="list" allowBlank="1" showInputMessage="1" showErrorMessage="1" xr:uid="{C03174A3-83CB-4260-B36F-9E97804C990B}">
          <x14:formula1>
            <xm:f>hulp!$F$5:$F$10</xm:f>
          </x14:formula1>
          <xm:sqref>C206 C6:C10</xm:sqref>
        </x14:dataValidation>
        <x14:dataValidation type="list" allowBlank="1" showInputMessage="1" showErrorMessage="1" xr:uid="{357870D6-DA83-4977-AAA3-A22DA434F78F}">
          <x14:formula1>
            <xm:f>hulp!$H$5:$H$7</xm:f>
          </x14:formula1>
          <xm:sqref>C210 C16:C23</xm:sqref>
        </x14:dataValidation>
        <x14:dataValidation type="list" allowBlank="1" showInputMessage="1" showErrorMessage="1" xr:uid="{AEEC522F-3F9F-4F26-A931-AA8FE5E5FA19}">
          <x14:formula1>
            <xm:f>hulp!$I$5:$I$9</xm:f>
          </x14:formula1>
          <xm:sqref>D210 D16:D23</xm:sqref>
        </x14:dataValidation>
        <x14:dataValidation type="list" allowBlank="1" showInputMessage="1" showErrorMessage="1" xr:uid="{6CDEF582-9EFE-4A3C-92BD-8EFF9DE063DD}">
          <x14:formula1>
            <xm:f>hulp!$J$5:$J$7</xm:f>
          </x14:formula1>
          <xm:sqref>H206 H210 H16:H23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444E-D097-4943-B3EF-833E7DE8D1EF}">
  <sheetPr codeName="Blad6">
    <tabColor rgb="FF92D050"/>
    <pageSetUpPr fitToPage="1"/>
  </sheetPr>
  <dimension ref="A1:AC139"/>
  <sheetViews>
    <sheetView workbookViewId="0">
      <selection activeCell="M8" sqref="M8"/>
    </sheetView>
  </sheetViews>
  <sheetFormatPr baseColWidth="10" defaultColWidth="9.1640625" defaultRowHeight="15" x14ac:dyDescent="0.2"/>
  <cols>
    <col min="1" max="1" width="25.5" style="3" customWidth="1"/>
    <col min="2" max="2" width="13.5" style="2" customWidth="1"/>
    <col min="3" max="3" width="9.5" style="3" customWidth="1"/>
    <col min="4" max="4" width="15.83203125" style="2" customWidth="1"/>
    <col min="5" max="5" width="15.5" style="2" customWidth="1"/>
    <col min="6" max="6" width="29.1640625" bestFit="1" customWidth="1"/>
    <col min="7" max="16384" width="9.1640625" style="2"/>
  </cols>
  <sheetData>
    <row r="1" spans="1:29" ht="31" customHeight="1" thickBot="1" x14ac:dyDescent="0.35">
      <c r="F1" s="54" t="str">
        <f>"Projectnaam :"&amp;Titelblad!$B$5</f>
        <v>Projectnaam :Naam project</v>
      </c>
    </row>
    <row r="2" spans="1:29" ht="30" customHeight="1" thickBot="1" x14ac:dyDescent="0.35">
      <c r="A2" s="14" t="s">
        <v>143</v>
      </c>
      <c r="F2" s="16" t="s">
        <v>36</v>
      </c>
      <c r="H2" s="3"/>
      <c r="K2" s="57"/>
      <c r="V2" s="57"/>
      <c r="W2" s="58"/>
      <c r="AA2" s="3"/>
      <c r="AB2" s="3"/>
      <c r="AC2" s="3"/>
    </row>
    <row r="3" spans="1:29" ht="30" customHeight="1" x14ac:dyDescent="0.3">
      <c r="B3" s="3"/>
      <c r="C3" s="14"/>
      <c r="F3" s="2"/>
      <c r="H3" s="3"/>
      <c r="K3" s="57"/>
      <c r="V3" s="57"/>
      <c r="W3" s="58"/>
      <c r="AA3" s="3"/>
      <c r="AB3" s="3"/>
      <c r="AC3" s="3"/>
    </row>
    <row r="4" spans="1:29" s="155" customFormat="1" ht="34.25" customHeight="1" x14ac:dyDescent="0.2">
      <c r="A4" s="18" t="s">
        <v>93</v>
      </c>
      <c r="B4" s="62" t="s">
        <v>144</v>
      </c>
      <c r="C4" s="18" t="s">
        <v>145</v>
      </c>
      <c r="D4" s="60" t="s">
        <v>146</v>
      </c>
      <c r="E4" s="62" t="s">
        <v>147</v>
      </c>
      <c r="F4" s="1" t="s">
        <v>148</v>
      </c>
    </row>
    <row r="5" spans="1:29" x14ac:dyDescent="0.2">
      <c r="A5" s="197" t="s">
        <v>149</v>
      </c>
      <c r="B5" s="198">
        <v>1</v>
      </c>
      <c r="C5" s="199" t="s">
        <v>150</v>
      </c>
      <c r="D5" s="200">
        <v>0</v>
      </c>
      <c r="E5" s="156">
        <f t="shared" ref="E5:E19" si="0">B5*D5</f>
        <v>0</v>
      </c>
      <c r="F5" s="201" t="s">
        <v>77</v>
      </c>
    </row>
    <row r="6" spans="1:29" x14ac:dyDescent="0.2">
      <c r="A6" s="197" t="s">
        <v>151</v>
      </c>
      <c r="B6" s="198">
        <v>1</v>
      </c>
      <c r="C6" s="199" t="s">
        <v>150</v>
      </c>
      <c r="D6" s="200">
        <v>0</v>
      </c>
      <c r="E6" s="156">
        <f t="shared" si="0"/>
        <v>0</v>
      </c>
      <c r="F6" s="201" t="s">
        <v>77</v>
      </c>
    </row>
    <row r="7" spans="1:29" x14ac:dyDescent="0.2">
      <c r="A7" s="197" t="s">
        <v>152</v>
      </c>
      <c r="B7" s="198">
        <v>1</v>
      </c>
      <c r="C7" s="199" t="s">
        <v>150</v>
      </c>
      <c r="D7" s="200">
        <v>0</v>
      </c>
      <c r="E7" s="156">
        <f t="shared" si="0"/>
        <v>0</v>
      </c>
      <c r="F7" s="201" t="s">
        <v>77</v>
      </c>
    </row>
    <row r="8" spans="1:29" x14ac:dyDescent="0.2">
      <c r="A8" s="197" t="s">
        <v>153</v>
      </c>
      <c r="B8" s="198">
        <v>1</v>
      </c>
      <c r="C8" s="199" t="s">
        <v>150</v>
      </c>
      <c r="D8" s="200">
        <v>0</v>
      </c>
      <c r="E8" s="156">
        <f t="shared" si="0"/>
        <v>0</v>
      </c>
      <c r="F8" s="201" t="s">
        <v>77</v>
      </c>
    </row>
    <row r="9" spans="1:29" x14ac:dyDescent="0.2">
      <c r="A9" s="197" t="s">
        <v>154</v>
      </c>
      <c r="B9" s="198">
        <v>1</v>
      </c>
      <c r="C9" s="199" t="s">
        <v>150</v>
      </c>
      <c r="D9" s="200">
        <v>0</v>
      </c>
      <c r="E9" s="156">
        <f t="shared" si="0"/>
        <v>0</v>
      </c>
      <c r="F9" s="201" t="s">
        <v>77</v>
      </c>
    </row>
    <row r="10" spans="1:29" x14ac:dyDescent="0.2">
      <c r="A10" s="197" t="s">
        <v>93</v>
      </c>
      <c r="B10" s="198">
        <v>1</v>
      </c>
      <c r="C10" s="199" t="s">
        <v>150</v>
      </c>
      <c r="D10" s="200">
        <v>0</v>
      </c>
      <c r="E10" s="156">
        <f t="shared" si="0"/>
        <v>0</v>
      </c>
      <c r="F10" s="201" t="s">
        <v>77</v>
      </c>
    </row>
    <row r="11" spans="1:29" x14ac:dyDescent="0.2">
      <c r="A11" s="197" t="s">
        <v>93</v>
      </c>
      <c r="B11" s="198">
        <v>1</v>
      </c>
      <c r="C11" s="199" t="s">
        <v>150</v>
      </c>
      <c r="D11" s="200">
        <v>0</v>
      </c>
      <c r="E11" s="156">
        <f t="shared" si="0"/>
        <v>0</v>
      </c>
      <c r="F11" s="201" t="s">
        <v>77</v>
      </c>
    </row>
    <row r="12" spans="1:29" x14ac:dyDescent="0.2">
      <c r="A12" s="197" t="s">
        <v>93</v>
      </c>
      <c r="B12" s="198">
        <v>1</v>
      </c>
      <c r="C12" s="199" t="s">
        <v>150</v>
      </c>
      <c r="D12" s="200">
        <v>0</v>
      </c>
      <c r="E12" s="156">
        <f t="shared" si="0"/>
        <v>0</v>
      </c>
      <c r="F12" s="201" t="s">
        <v>77</v>
      </c>
    </row>
    <row r="13" spans="1:29" x14ac:dyDescent="0.2">
      <c r="A13" s="197" t="s">
        <v>93</v>
      </c>
      <c r="B13" s="198">
        <v>1</v>
      </c>
      <c r="C13" s="199" t="s">
        <v>150</v>
      </c>
      <c r="D13" s="200">
        <v>0</v>
      </c>
      <c r="E13" s="156">
        <f t="shared" si="0"/>
        <v>0</v>
      </c>
      <c r="F13" s="201" t="s">
        <v>77</v>
      </c>
    </row>
    <row r="14" spans="1:29" x14ac:dyDescent="0.2">
      <c r="A14" s="197" t="s">
        <v>93</v>
      </c>
      <c r="B14" s="198">
        <v>1</v>
      </c>
      <c r="C14" s="199" t="s">
        <v>150</v>
      </c>
      <c r="D14" s="200">
        <v>0</v>
      </c>
      <c r="E14" s="156">
        <f t="shared" ref="E14:E15" si="1">B14*D14</f>
        <v>0</v>
      </c>
      <c r="F14" s="201" t="s">
        <v>77</v>
      </c>
    </row>
    <row r="15" spans="1:29" x14ac:dyDescent="0.2">
      <c r="A15" s="197" t="s">
        <v>93</v>
      </c>
      <c r="B15" s="198">
        <v>1</v>
      </c>
      <c r="C15" s="199" t="s">
        <v>150</v>
      </c>
      <c r="D15" s="200">
        <v>0</v>
      </c>
      <c r="E15" s="156">
        <f t="shared" si="1"/>
        <v>0</v>
      </c>
      <c r="F15" s="201" t="s">
        <v>77</v>
      </c>
    </row>
    <row r="16" spans="1:29" x14ac:dyDescent="0.2">
      <c r="A16" s="197" t="s">
        <v>93</v>
      </c>
      <c r="B16" s="198">
        <v>1</v>
      </c>
      <c r="C16" s="199" t="s">
        <v>150</v>
      </c>
      <c r="D16" s="200">
        <v>0</v>
      </c>
      <c r="E16" s="156">
        <f t="shared" si="0"/>
        <v>0</v>
      </c>
      <c r="F16" s="201" t="s">
        <v>77</v>
      </c>
    </row>
    <row r="17" spans="1:6" x14ac:dyDescent="0.2">
      <c r="A17" s="197" t="s">
        <v>93</v>
      </c>
      <c r="B17" s="198">
        <v>1</v>
      </c>
      <c r="C17" s="199" t="s">
        <v>150</v>
      </c>
      <c r="D17" s="200">
        <v>0</v>
      </c>
      <c r="E17" s="156">
        <f t="shared" si="0"/>
        <v>0</v>
      </c>
      <c r="F17" s="201" t="s">
        <v>77</v>
      </c>
    </row>
    <row r="18" spans="1:6" x14ac:dyDescent="0.2">
      <c r="A18" s="197" t="s">
        <v>93</v>
      </c>
      <c r="B18" s="198">
        <v>1</v>
      </c>
      <c r="C18" s="199" t="s">
        <v>150</v>
      </c>
      <c r="D18" s="200">
        <v>0</v>
      </c>
      <c r="E18" s="156">
        <f t="shared" si="0"/>
        <v>0</v>
      </c>
      <c r="F18" s="201" t="s">
        <v>77</v>
      </c>
    </row>
    <row r="19" spans="1:6" x14ac:dyDescent="0.2">
      <c r="A19" s="197" t="s">
        <v>93</v>
      </c>
      <c r="B19" s="198">
        <v>1</v>
      </c>
      <c r="C19" s="199" t="s">
        <v>150</v>
      </c>
      <c r="D19" s="200">
        <v>0</v>
      </c>
      <c r="E19" s="156">
        <f t="shared" si="0"/>
        <v>0</v>
      </c>
      <c r="F19" s="201" t="s">
        <v>77</v>
      </c>
    </row>
    <row r="20" spans="1:6" ht="16" thickBot="1" x14ac:dyDescent="0.25">
      <c r="A20" s="46"/>
      <c r="B20" s="157"/>
      <c r="C20" s="47"/>
      <c r="D20" s="158"/>
      <c r="E20" s="159"/>
      <c r="F20" s="181"/>
    </row>
    <row r="21" spans="1:6" ht="17" thickTop="1" thickBot="1" x14ac:dyDescent="0.25">
      <c r="A21" s="26" t="s">
        <v>155</v>
      </c>
      <c r="B21" s="76"/>
      <c r="C21" s="27"/>
      <c r="D21" s="80"/>
      <c r="E21" s="80">
        <f>SUM(E5:E20)</f>
        <v>0</v>
      </c>
      <c r="F21" s="182"/>
    </row>
    <row r="22" spans="1:6" ht="16" thickTop="1" x14ac:dyDescent="0.2">
      <c r="D22" s="57"/>
      <c r="E22" s="57"/>
    </row>
    <row r="23" spans="1:6" x14ac:dyDescent="0.2">
      <c r="A23" s="3" t="str">
        <f>"Versie "&amp;Titelblad!$B$11</f>
        <v>Versie 1.0</v>
      </c>
    </row>
    <row r="24" spans="1:6" x14ac:dyDescent="0.2">
      <c r="A24" s="3" t="str">
        <f>"Versiedatum: "&amp;TEXT(Titelblad!$B$12,"dd mmmm jjjj")</f>
        <v>Versiedatum: datum</v>
      </c>
    </row>
    <row r="44" hidden="1" x14ac:dyDescent="0.2"/>
    <row r="45" hidden="1" x14ac:dyDescent="0.2"/>
    <row r="52" hidden="1" x14ac:dyDescent="0.2"/>
    <row r="58" hidden="1" x14ac:dyDescent="0.2"/>
    <row r="69" hidden="1" x14ac:dyDescent="0.2"/>
    <row r="70" hidden="1" x14ac:dyDescent="0.2"/>
    <row r="75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</sheetData>
  <sheetProtection formatColumns="0" formatRows="0"/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93CCB8-EF7E-496F-AA8E-2A83EA5A8C94}">
          <x14:formula1>
            <xm:f>hulp!$G$5:$G$12</xm:f>
          </x14:formula1>
          <xm:sqref>F5:F20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08B02-DDA8-4A28-807C-E3C6C0C2C962}">
  <sheetPr codeName="Blad1">
    <tabColor rgb="FFFFFF00"/>
    <pageSetUpPr fitToPage="1"/>
  </sheetPr>
  <dimension ref="A1:BW49"/>
  <sheetViews>
    <sheetView topLeftCell="A4" workbookViewId="0">
      <selection activeCell="M9" sqref="M9"/>
    </sheetView>
  </sheetViews>
  <sheetFormatPr baseColWidth="10" defaultColWidth="8.83203125" defaultRowHeight="15" x14ac:dyDescent="0.2"/>
  <cols>
    <col min="1" max="1" width="48.5" style="2" customWidth="1"/>
    <col min="2" max="3" width="8.83203125" style="2" customWidth="1"/>
    <col min="4" max="4" width="10.1640625" style="2" customWidth="1"/>
    <col min="5" max="5" width="8.83203125" style="2" customWidth="1"/>
    <col min="6" max="6" width="8.5" style="2" customWidth="1"/>
    <col min="7" max="7" width="1.5" style="55" customWidth="1"/>
    <col min="8" max="9" width="9.5" style="2" bestFit="1" customWidth="1"/>
    <col min="10" max="10" width="10.5" style="2" customWidth="1"/>
    <col min="11" max="11" width="2.5" style="2" customWidth="1"/>
    <col min="12" max="12" width="49.83203125" style="57" bestFit="1" customWidth="1"/>
    <col min="13" max="13" width="19.5" style="57" customWidth="1"/>
    <col min="14" max="14" width="19.83203125" style="57" customWidth="1"/>
    <col min="15" max="15" width="5.83203125" style="57" bestFit="1" customWidth="1"/>
    <col min="16" max="17" width="14.83203125" style="57" customWidth="1"/>
    <col min="18" max="19" width="20.5" style="57" customWidth="1"/>
    <col min="20" max="21" width="14.1640625" style="57" customWidth="1"/>
    <col min="22" max="23" width="14.5" style="57" customWidth="1"/>
    <col min="24" max="29" width="26.5" style="57" customWidth="1"/>
    <col min="30" max="31" width="16.5" style="57" customWidth="1"/>
    <col min="32" max="32" width="3.5" customWidth="1"/>
    <col min="33" max="33" width="9.5" style="57" customWidth="1"/>
    <col min="34" max="34" width="24.5" style="57" customWidth="1"/>
    <col min="35" max="35" width="28" style="57" customWidth="1"/>
    <col min="36" max="38" width="9.5" style="57" customWidth="1"/>
    <col min="39" max="39" width="24.5" style="57" customWidth="1"/>
    <col min="40" max="40" width="28" style="57" customWidth="1"/>
    <col min="41" max="42" width="9.5" style="57" customWidth="1"/>
    <col min="43" max="43" width="3.5" style="57" customWidth="1"/>
    <col min="44" max="47" width="15.1640625" style="57" customWidth="1"/>
    <col min="48" max="48" width="16.1640625" style="57" customWidth="1"/>
    <col min="49" max="59" width="15.1640625" style="57" customWidth="1"/>
    <col min="60" max="60" width="8.83203125" style="2"/>
    <col min="61" max="61" width="14.5" style="2" customWidth="1"/>
    <col min="62" max="63" width="8.83203125" style="2" customWidth="1"/>
    <col min="64" max="65" width="12.5" style="2" customWidth="1"/>
    <col min="66" max="66" width="14.5" style="2" customWidth="1"/>
    <col min="67" max="67" width="11.5" style="2" customWidth="1"/>
    <col min="68" max="68" width="8.83203125" style="2" customWidth="1"/>
    <col min="69" max="71" width="12.1640625" style="2" customWidth="1"/>
    <col min="72" max="72" width="13.5" style="2" customWidth="1"/>
    <col min="73" max="83" width="8.83203125" style="2" customWidth="1"/>
    <col min="84" max="16384" width="8.83203125" style="2"/>
  </cols>
  <sheetData>
    <row r="1" spans="1:75" hidden="1" x14ac:dyDescent="0.2">
      <c r="P1" s="57" t="s">
        <v>49</v>
      </c>
    </row>
    <row r="2" spans="1:75" hidden="1" x14ac:dyDescent="0.2">
      <c r="P2" s="57">
        <f>SUMIF('Invulblad WB'!$AD:$AD,P$7&amp;P$5&amp;" "&amp;P$6,'Invulblad WB'!$AO:$AO)</f>
        <v>0</v>
      </c>
      <c r="Q2" s="57">
        <f>SUMIF('Invulblad WB'!$AD:$AD,Q$7&amp;Q$5&amp;" "&amp;Q$6,'Invulblad WB'!$AO:$AO)</f>
        <v>0</v>
      </c>
      <c r="R2" s="57">
        <f>SUMIF('Invulblad WB'!$AD:$AD,R$7&amp;R$5&amp;" "&amp;R$6,'Invulblad WB'!$AO:$AO)</f>
        <v>0</v>
      </c>
      <c r="S2" s="57">
        <f>SUMIF('Invulblad WB'!$AD:$AD,S$7&amp;S$5&amp;" "&amp;S$6,'Invulblad WB'!$AO:$AO)</f>
        <v>0</v>
      </c>
      <c r="T2" s="57">
        <f>SUMIF('Invulblad WB'!$AD:$AD,T$7&amp;T$5&amp;" "&amp;T$6,'Invulblad WB'!$AO:$AO)</f>
        <v>0</v>
      </c>
      <c r="U2" s="57">
        <f>SUMIF('Invulblad WB'!$AD:$AD,U$7&amp;U$5&amp;" "&amp;U$6,'Invulblad WB'!$AO:$AO)</f>
        <v>0</v>
      </c>
      <c r="V2" s="57">
        <f>SUMIF('Invulblad WB'!$AD:$AD,V$7&amp;V$5&amp;" "&amp;V$6,'Invulblad WB'!$AO:$AO)</f>
        <v>0</v>
      </c>
      <c r="W2" s="57">
        <f>SUMIF('Invulblad WB'!$AD:$AD,W$7&amp;W$5&amp;" "&amp;W$6,'Invulblad WB'!$AO:$AO)</f>
        <v>0</v>
      </c>
      <c r="X2" s="57">
        <f>SUMIF('Invulblad WB'!$AD:$AD,X$7&amp;X$5&amp;" "&amp;X$6,'Invulblad WB'!$AO:$AO)</f>
        <v>0</v>
      </c>
      <c r="Y2" s="57">
        <f>SUMIF('Invulblad WB'!$AD:$AD,Y$7&amp;Y$5&amp;" "&amp;Y$6,'Invulblad WB'!$AO:$AO)</f>
        <v>0</v>
      </c>
      <c r="Z2" s="57">
        <f>SUMIF('Invulblad WB'!$AD:$AD,Z$7&amp;Z$5&amp;" "&amp;Z$6,'Invulblad WB'!$AO:$AO)</f>
        <v>0</v>
      </c>
      <c r="AA2" s="57">
        <f>SUMIF('Invulblad WB'!$AD:$AD,AA$7&amp;AA$5&amp;" "&amp;AA$6,'Invulblad WB'!$AO:$AO)</f>
        <v>0</v>
      </c>
      <c r="AB2" s="57">
        <f>SUMIF('Invulblad WB'!$AD:$AD,AB$7&amp;AB$5&amp;" "&amp;AB$6,'Invulblad WB'!$AO:$AO)</f>
        <v>0</v>
      </c>
      <c r="AC2" s="57">
        <f>SUMIF('Invulblad WB'!$AD:$AD,AC$7&amp;AC$5&amp;" "&amp;AC$6,'Invulblad WB'!$AO:$AO)</f>
        <v>0</v>
      </c>
      <c r="AD2" s="57">
        <f>SUMIF('Invulblad WB'!$AD:$AD,AD$7&amp;AD$5&amp;" "&amp;AD$6,'Invulblad WB'!$AO:$AO)</f>
        <v>0</v>
      </c>
      <c r="AE2" s="57">
        <f>SUMIF('Invulblad WB'!$AD:$AD,AE$7&amp;AE$5&amp;" "&amp;AE$6,'Invulblad WB'!$AO:$AO)</f>
        <v>0</v>
      </c>
      <c r="AG2" s="57">
        <f>SUMIF('Invulblad NWB'!$AB$5:$AB$12,AG$5,'Invulblad NWB'!$AQ$5:$AQ$12)</f>
        <v>0</v>
      </c>
      <c r="AH2" s="57">
        <f>SUMIF('Invulblad NWB'!$AB$5:$AB$12,AH$5,'Invulblad NWB'!$AQ$5:$AQ$12)</f>
        <v>0</v>
      </c>
      <c r="AI2" s="57">
        <f>SUMIF('Invulblad NWB'!$AB$5:$AB$12,AI$5,'Invulblad NWB'!$AQ$5:$AQ$12)</f>
        <v>0</v>
      </c>
      <c r="AJ2" s="57">
        <f>SUMIF('Invulblad NWB'!$AB$5:$AB$12,AJ$5,'Invulblad NWB'!$AQ$5:$AQ$12)</f>
        <v>0</v>
      </c>
      <c r="AK2" s="57">
        <f>SUMIF('Invulblad NWB'!$AB$5:$AB$12,AK$5,'Invulblad NWB'!$AQ$5:$AQ$12)</f>
        <v>0</v>
      </c>
      <c r="AL2" s="144">
        <f>SUMIF('Invulblad NWB'!$AB$5:$AB$12,AL$5,'Invulblad NWB'!$BE$5:$BE$12)</f>
        <v>0</v>
      </c>
      <c r="AM2" s="144">
        <f>SUMIF('Invulblad NWB'!$AB$5:$AB$12,AM$5,'Invulblad NWB'!$BE$5:$BE$12)</f>
        <v>0</v>
      </c>
      <c r="AN2" s="144">
        <f>SUMIF('Invulblad NWB'!$AB$5:$AB$12,AN$5,'Invulblad NWB'!$BE$5:$BE$12)</f>
        <v>0</v>
      </c>
      <c r="AO2" s="144">
        <f>SUMIF('Invulblad NWB'!$AB$5:$AB$12,AO$5,'Invulblad NWB'!$BE$5:$BE$12)</f>
        <v>0</v>
      </c>
      <c r="AP2" s="144">
        <f>SUMIF('Invulblad NWB'!$AB$5:$AB$12,AP$5,'Invulblad NWB'!$BE$5:$BE$12)</f>
        <v>0</v>
      </c>
      <c r="AR2" s="57">
        <f>SUMIF('Invulblad NWB'!$D$15:$D$25,AR$6,'Invulblad NWB'!$BE$15:$BE$25)</f>
        <v>0</v>
      </c>
      <c r="AS2" s="57">
        <f>SUMIF('Invulblad NWB'!$D$15:$D$25,AS$6,'Invulblad NWB'!$BE$15:$BE$25)</f>
        <v>0</v>
      </c>
      <c r="AT2" s="57">
        <f>SUMIF('Invulblad NWB'!$D$15:$D$25,AT$6,'Invulblad NWB'!$BE$15:$BE$25)</f>
        <v>0</v>
      </c>
      <c r="AU2" s="57">
        <f>SUMIF('Invulblad NWB'!$D$15:$D$25,AU$6,'Invulblad NWB'!$BE$15:$BE$25)</f>
        <v>0</v>
      </c>
      <c r="AV2" s="57">
        <f>SUMIF('Invulblad NWB'!$D$15:$D$25,AV$6,'Invulblad NWB'!$AQ$15:$AQ$25)</f>
        <v>0</v>
      </c>
      <c r="AW2" s="57">
        <f>SUMIF('Invulblad NWB'!$D$15:$D$25,AW$6,'Invulblad NWB'!$AQ$15:$AQ$25)</f>
        <v>0</v>
      </c>
      <c r="AX2" s="57">
        <f>SUMIF('Invulblad NWB'!$D$15:$D$25,AX$6,'Invulblad NWB'!$AQ$15:$AQ$25)</f>
        <v>0</v>
      </c>
      <c r="AY2" s="57">
        <f>SUMIF('Invulblad NWB'!$D$15:$D$25,AY$6,'Invulblad NWB'!$AQ$15:$AQ$25)</f>
        <v>0</v>
      </c>
      <c r="AZ2" s="57">
        <f>SUMIF('Invulblad NWB'!$D$15:$D$25,AZ$6,'Invulblad NWB'!$CH$15:$CH$25)</f>
        <v>0</v>
      </c>
      <c r="BA2" s="57">
        <f>SUMIF('Invulblad NWB'!$D$15:$D$25,BA$6,'Invulblad NWB'!$CH$15:$CH$25)</f>
        <v>0</v>
      </c>
      <c r="BB2" s="57">
        <f>SUMIF('Invulblad NWB'!$D$15:$D$25,BB$6,'Invulblad NWB'!$CH$15:$CH$25)</f>
        <v>0</v>
      </c>
      <c r="BC2" s="57">
        <f>SUMIF('Invulblad NWB'!$D$15:$D$25,BC$6,'Invulblad NWB'!$CH$15:$CH$25)</f>
        <v>0</v>
      </c>
      <c r="BD2" s="57">
        <f>SUMIF('Invulblad NWB'!$D$15:$D$25,BD$6,'Invulblad NWB'!$BT$15:$BT$25)</f>
        <v>0</v>
      </c>
      <c r="BE2" s="57">
        <f>SUMIF('Invulblad NWB'!$D$15:$D$25,BE$6,'Invulblad NWB'!$BT$15:$BT$25)</f>
        <v>0</v>
      </c>
      <c r="BF2" s="57">
        <f>SUMIF('Invulblad NWB'!$D$15:$D$25,BF$6,'Invulblad NWB'!$BT$15:$BT$25)</f>
        <v>0</v>
      </c>
      <c r="BG2" s="57">
        <f>SUMIF('Invulblad NWB'!$D$15:$D$25,BG$6,'Invulblad NWB'!$BT$15:$BT$25)</f>
        <v>0</v>
      </c>
    </row>
    <row r="3" spans="1:75" hidden="1" x14ac:dyDescent="0.2">
      <c r="L3" s="144"/>
      <c r="M3" s="144"/>
      <c r="N3" s="144"/>
      <c r="O3" s="144"/>
      <c r="P3" s="274">
        <f>(SUMIF('Invulblad WB'!$AD$5:$AD$13,P$7&amp;P$5&amp;" "&amp;P$6,'Invulblad WB'!$E$5:$E$13)&gt;0)*1</f>
        <v>0</v>
      </c>
      <c r="Q3" s="274">
        <f>(SUMIF('Invulblad WB'!$AD$5:$AD$13,Q$7&amp;Q$5&amp;" "&amp;Q$6,'Invulblad WB'!$E$5:$E$13)&gt;0)*1</f>
        <v>0</v>
      </c>
      <c r="R3" s="274">
        <f>(SUMIF('Invulblad WB'!$AD$5:$AD$13,R$7&amp;R$5&amp;" "&amp;R$6,'Invulblad WB'!$E$5:$E$13)&gt;0)*1</f>
        <v>0</v>
      </c>
      <c r="S3" s="274">
        <f>(SUMIF('Invulblad WB'!$AD$5:$AD$13,S$7&amp;S$5&amp;" "&amp;S$6,'Invulblad WB'!$E$5:$E$13)&gt;0)*1</f>
        <v>0</v>
      </c>
      <c r="T3" s="274">
        <f>(SUMIF('Invulblad WB'!$AD$5:$AD$13,T$7&amp;T$5&amp;" "&amp;T$6,'Invulblad WB'!$E$5:$E$13)&gt;0)*1</f>
        <v>0</v>
      </c>
      <c r="U3" s="274">
        <f>(SUMIF('Invulblad WB'!$AD$5:$AD$13,U$7&amp;U$5&amp;" "&amp;U$6,'Invulblad WB'!$E$5:$E$13)&gt;0)*1</f>
        <v>0</v>
      </c>
      <c r="V3" s="274">
        <f>(SUMIF('Invulblad WB'!$AD$16:$AD$28,V$7&amp;V$5&amp;" "&amp;V$6,'Invulblad WB'!$E$16:$W$28)&gt;0)*1</f>
        <v>0</v>
      </c>
      <c r="W3" s="274">
        <f>(SUMIF('Invulblad WB'!$AD$16:$AD$28,W$7&amp;W$5&amp;" "&amp;W$6,'Invulblad WB'!$E$16:$W$28)&gt;0)*1</f>
        <v>0</v>
      </c>
      <c r="X3" s="274">
        <f>(SUMIF('Invulblad WB'!$AD$16:$AD$28,X$7&amp;X$5&amp;" "&amp;X$6,'Invulblad WB'!$E$16:$W$28)&gt;0)*1</f>
        <v>0</v>
      </c>
      <c r="Y3" s="274">
        <f>(SUMIF('Invulblad WB'!$AD$16:$AD$28,Y$7&amp;Y$5&amp;" "&amp;Y$6,'Invulblad WB'!$E$16:$W$28)&gt;0)*1</f>
        <v>0</v>
      </c>
      <c r="Z3" s="274">
        <f>(SUMIF('Invulblad WB'!$AD$16:$AD$28,Z$7&amp;Z$5&amp;" "&amp;Z$6,'Invulblad WB'!$E$16:$W$28)&gt;0)*1</f>
        <v>0</v>
      </c>
      <c r="AA3" s="274">
        <f>(SUMIF('Invulblad WB'!$AD$16:$AD$28,AA$7&amp;AA$5&amp;" "&amp;AA$6,'Invulblad WB'!$E$16:$W$28)&gt;0)*1</f>
        <v>0</v>
      </c>
      <c r="AB3" s="274">
        <f>(SUMIF('Invulblad WB'!$AD$16:$AD$28,AB$7&amp;AB$5&amp;" "&amp;AB$6,'Invulblad WB'!$E$16:$W$28)&gt;0)*1</f>
        <v>0</v>
      </c>
      <c r="AC3" s="274">
        <f>(SUMIF('Invulblad WB'!$AD$16:$AD$28,AC$7&amp;AC$5&amp;" "&amp;AC$6,'Invulblad WB'!$E$16:$W$28)&gt;0)*1</f>
        <v>0</v>
      </c>
      <c r="AD3" s="274">
        <f>(SUMIF('Invulblad WB'!$AD$16:$AD$28,AD$7&amp;AD$5&amp;" "&amp;AD$6,'Invulblad WB'!$E$16:$W$28)&gt;0)*1</f>
        <v>0</v>
      </c>
      <c r="AE3" s="274">
        <f>(SUMIF('Invulblad WB'!$AD$16:$AD$28,AE$7&amp;AE$5&amp;" "&amp;AE$6,'Invulblad WB'!$E$16:$W$28)&gt;0)*1</f>
        <v>0</v>
      </c>
      <c r="AF3" s="275">
        <f>(SUM(P3:AD3)&gt;1)*1</f>
        <v>0</v>
      </c>
      <c r="AG3" s="274">
        <f>(SUMIF('Invulblad NWB'!$AC$6:$AC$12,AG$5&amp;AG$7,'Invulblad NWB'!$E$6:$E$12)&gt;0)*1</f>
        <v>0</v>
      </c>
      <c r="AH3" s="274">
        <f>(SUMIF('Invulblad NWB'!$AC$6:$AC$12,AH$5&amp;AH$7,'Invulblad NWB'!$E$6:$E$12)&gt;0)*1</f>
        <v>0</v>
      </c>
      <c r="AI3" s="274">
        <f>(SUMIF('Invulblad NWB'!$AC$6:$AC$12,AI$5&amp;AI$7,'Invulblad NWB'!$E$6:$E$12)&gt;0)*1</f>
        <v>0</v>
      </c>
      <c r="AJ3" s="274">
        <f>(SUMIF('Invulblad NWB'!$AC$6:$AC$12,AJ$5&amp;AJ$7,'Invulblad NWB'!$E$6:$E$12)&gt;0)*1</f>
        <v>0</v>
      </c>
      <c r="AK3" s="274">
        <f>(SUMIF('Invulblad NWB'!$AC$6:$AC$12,AK$5&amp;AK$7,'Invulblad NWB'!$E$6:$E$12)&gt;0)*1</f>
        <v>0</v>
      </c>
      <c r="AL3" s="274">
        <f>(SUMIF('Invulblad NWB'!$AC$6:$AC$12,AL$5&amp;AL$7,'Invulblad NWB'!$E$6:$E$12)&gt;0)*1</f>
        <v>0</v>
      </c>
      <c r="AM3" s="274">
        <f>(SUMIF('Invulblad NWB'!$AC$6:$AC$12,AM$5&amp;AM$7,'Invulblad NWB'!$E$6:$E$12)&gt;0)*1</f>
        <v>0</v>
      </c>
      <c r="AN3" s="274">
        <f>(SUMIF('Invulblad NWB'!$AC$6:$AC$12,AN$5&amp;AN$7,'Invulblad NWB'!$E$6:$E$12)&gt;0)*1</f>
        <v>0</v>
      </c>
      <c r="AO3" s="274">
        <f>(SUMIF('Invulblad NWB'!$AC$6:$AC$12,AO$5&amp;AO$7,'Invulblad NWB'!$E$6:$E$12)&gt;0)*1</f>
        <v>0</v>
      </c>
      <c r="AP3" s="274">
        <f>(SUMIF('Invulblad NWB'!$AC$6:$AC$12,AP$5&amp;AP$7,'Invulblad NWB'!$E$6:$E$12)&gt;0)*1</f>
        <v>0</v>
      </c>
      <c r="AQ3" s="275">
        <f>(SUM(AG3:AO3)&gt;1)*1</f>
        <v>0</v>
      </c>
      <c r="AR3" s="274">
        <f>(SUMIF('Invulblad NWB'!$AB$16:$AB$24,AR$7&amp;AR$5&amp;AR$6,'Invulblad NWB'!$X$16:$X$24)&gt;0)*1</f>
        <v>0</v>
      </c>
      <c r="AS3" s="274">
        <f>(SUMIF('Invulblad NWB'!$AB$16:$AB$24,AS$7&amp;AS$5&amp;AS$6,'Invulblad NWB'!$X$16:$X$24)&gt;0)*1</f>
        <v>0</v>
      </c>
      <c r="AT3" s="274">
        <f>(SUMIF('Invulblad NWB'!$AB$16:$AB$24,AT$7&amp;AT$5&amp;AT$6,'Invulblad NWB'!$X$16:$X$24)&gt;0)*1</f>
        <v>0</v>
      </c>
      <c r="AU3" s="274">
        <f>(SUMIF('Invulblad NWB'!$AB$16:$AB$24,AU$7&amp;AU$5&amp;AU$6,'Invulblad NWB'!$X$16:$X$24)&gt;0)*1</f>
        <v>0</v>
      </c>
      <c r="AV3" s="274">
        <f>(SUMIF('Invulblad NWB'!$AB$16:$AB$24,AV$7&amp;AV$5&amp;AV$6,'Invulblad NWB'!$X$16:$X$24)&gt;0)*1</f>
        <v>0</v>
      </c>
      <c r="AW3" s="274">
        <f>(SUMIF('Invulblad NWB'!$AB$16:$AB$24,AW$7&amp;AW$5&amp;AW$6,'Invulblad NWB'!$X$16:$X$24)&gt;0)*1</f>
        <v>0</v>
      </c>
      <c r="AX3" s="274">
        <f>(SUMIF('Invulblad NWB'!$AB$16:$AB$24,AX$7&amp;AX$5&amp;AX$6,'Invulblad NWB'!$X$16:$X$24)&gt;0)*1</f>
        <v>0</v>
      </c>
      <c r="AY3" s="274">
        <f>(SUMIF('Invulblad NWB'!$AB$16:$AB$24,AY$7&amp;AY$5&amp;AY$6,'Invulblad NWB'!$X$16:$X$24)&gt;0)*1</f>
        <v>0</v>
      </c>
      <c r="AZ3" s="274">
        <f>(SUMIF('Invulblad NWB'!$AB$16:$AB$24,AZ$7&amp;AZ$5&amp;AZ$6,'Invulblad NWB'!$X$16:$X$24)&gt;0)*1</f>
        <v>0</v>
      </c>
      <c r="BA3" s="274">
        <f>(SUMIF('Invulblad NWB'!$AB$16:$AB$24,BA$7&amp;BA$5&amp;BA$6,'Invulblad NWB'!$X$16:$X$24)&gt;0)*1</f>
        <v>0</v>
      </c>
      <c r="BB3" s="274">
        <f>(SUMIF('Invulblad NWB'!$AB$16:$AB$24,BB$7&amp;BB$5&amp;BB$6,'Invulblad NWB'!$X$16:$X$24)&gt;0)*1</f>
        <v>0</v>
      </c>
      <c r="BC3" s="274">
        <f>(SUMIF('Invulblad NWB'!$AB$16:$AB$24,BC$7&amp;BC$5&amp;BC$6,'Invulblad NWB'!$X$16:$X$24)&gt;0)*1</f>
        <v>0</v>
      </c>
      <c r="BD3" s="274">
        <f>(SUMIF('Invulblad NWB'!$AB$16:$AB$24,BD$7&amp;BD$5&amp;BD$6,'Invulblad NWB'!$X$16:$X$24)&gt;0)*1</f>
        <v>0</v>
      </c>
      <c r="BE3" s="274">
        <f>(SUMIF('Invulblad NWB'!$AB$16:$AB$24,BE$7&amp;BE$5&amp;BE$6,'Invulblad NWB'!$X$16:$X$24)&gt;0)*1</f>
        <v>0</v>
      </c>
      <c r="BF3" s="274">
        <f>(SUMIF('Invulblad NWB'!$AB$16:$AB$24,BF$7&amp;BF$5&amp;BF$6,'Invulblad NWB'!$X$16:$X$24)&gt;0)*1</f>
        <v>0</v>
      </c>
      <c r="BG3" s="274">
        <f>(SUMIF('Invulblad NWB'!$AB$16:$AB$24,BG$7&amp;BG$5&amp;BG$6,'Invulblad NWB'!$X$16:$X$24)&gt;0)*1</f>
        <v>0</v>
      </c>
      <c r="BH3" s="144"/>
      <c r="BI3" s="144"/>
      <c r="BJ3" s="144"/>
      <c r="BK3" s="144"/>
    </row>
    <row r="4" spans="1:75" ht="28.5" customHeight="1" x14ac:dyDescent="0.3">
      <c r="A4" s="276"/>
      <c r="C4" s="14" t="s">
        <v>17</v>
      </c>
      <c r="G4" s="2"/>
      <c r="L4" s="300"/>
      <c r="M4" s="300"/>
      <c r="N4" s="300"/>
      <c r="O4" s="300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  <c r="BF4" s="301"/>
      <c r="BG4" s="301"/>
      <c r="BH4" s="300"/>
      <c r="BI4" s="300"/>
      <c r="BJ4" s="300"/>
      <c r="BK4" s="300"/>
    </row>
    <row r="5" spans="1:75" x14ac:dyDescent="0.2">
      <c r="A5" s="193"/>
      <c r="B5" s="273"/>
      <c r="C5" s="193"/>
      <c r="D5" s="193"/>
      <c r="E5" s="193"/>
      <c r="F5" s="193"/>
      <c r="G5" s="193"/>
      <c r="H5" s="193"/>
      <c r="I5" s="193"/>
      <c r="J5" s="193"/>
      <c r="K5" s="55"/>
      <c r="L5" s="193"/>
      <c r="M5" s="193"/>
      <c r="N5" s="193"/>
      <c r="O5" s="144"/>
      <c r="P5" s="6" t="s">
        <v>156</v>
      </c>
      <c r="Q5" s="6" t="str">
        <f>P5</f>
        <v>Sociale huur</v>
      </c>
      <c r="R5" s="6" t="str">
        <f>hulp!B6</f>
        <v>Middenhuur</v>
      </c>
      <c r="S5" s="6" t="str">
        <f t="shared" ref="S5" si="0">R5</f>
        <v>Middenhuur</v>
      </c>
      <c r="T5" s="6" t="str">
        <f>hulp!B7</f>
        <v>Dure huur</v>
      </c>
      <c r="U5" s="6" t="str">
        <f t="shared" ref="U5" si="1">T5</f>
        <v>Dure huur</v>
      </c>
      <c r="V5" s="6" t="str">
        <f>hulp!B10</f>
        <v>Sociale koop</v>
      </c>
      <c r="W5" s="6" t="str">
        <f t="shared" ref="W5" si="2">V5</f>
        <v>Sociale koop</v>
      </c>
      <c r="X5" s="6" t="str">
        <f>hulp!B11</f>
        <v>Lage middeldure koop</v>
      </c>
      <c r="Y5" s="6" t="str">
        <f t="shared" ref="Y5" si="3">X5</f>
        <v>Lage middeldure koop</v>
      </c>
      <c r="Z5" s="6" t="str">
        <f>hulp!B12</f>
        <v>Midden middeldure koop</v>
      </c>
      <c r="AA5" s="6" t="str">
        <f t="shared" ref="AA5" si="4">Z5</f>
        <v>Midden middeldure koop</v>
      </c>
      <c r="AB5" s="6" t="str">
        <f>hulp!B13</f>
        <v>Hoge middeldure koop</v>
      </c>
      <c r="AC5" s="6" t="str">
        <f t="shared" ref="AC5" si="5">AB5</f>
        <v>Hoge middeldure koop</v>
      </c>
      <c r="AD5" s="6" t="str">
        <f>hulp!B14</f>
        <v>Dure koop</v>
      </c>
      <c r="AE5" s="6" t="str">
        <f t="shared" ref="AE5" si="6">AD5</f>
        <v>Dure koop</v>
      </c>
      <c r="AG5" s="6" t="s">
        <v>157</v>
      </c>
      <c r="AH5" s="6" t="s">
        <v>158</v>
      </c>
      <c r="AI5" s="6" t="s">
        <v>159</v>
      </c>
      <c r="AJ5" s="6" t="s">
        <v>160</v>
      </c>
      <c r="AK5" s="6" t="s">
        <v>161</v>
      </c>
      <c r="AL5" s="6" t="s">
        <v>157</v>
      </c>
      <c r="AM5" s="6" t="s">
        <v>158</v>
      </c>
      <c r="AN5" s="6" t="s">
        <v>159</v>
      </c>
      <c r="AO5" s="6" t="s">
        <v>160</v>
      </c>
      <c r="AP5" s="6" t="s">
        <v>161</v>
      </c>
      <c r="AQ5" s="144"/>
      <c r="AR5" s="6" t="s">
        <v>125</v>
      </c>
      <c r="AS5" s="6" t="s">
        <v>125</v>
      </c>
      <c r="AT5" s="6" t="s">
        <v>125</v>
      </c>
      <c r="AU5" s="6" t="s">
        <v>125</v>
      </c>
      <c r="AV5" s="6" t="s">
        <v>125</v>
      </c>
      <c r="AW5" s="6" t="s">
        <v>125</v>
      </c>
      <c r="AX5" s="6" t="s">
        <v>125</v>
      </c>
      <c r="AY5" s="6" t="s">
        <v>125</v>
      </c>
      <c r="AZ5" s="6" t="s">
        <v>126</v>
      </c>
      <c r="BA5" s="6" t="s">
        <v>126</v>
      </c>
      <c r="BB5" s="6" t="s">
        <v>126</v>
      </c>
      <c r="BC5" s="6" t="s">
        <v>126</v>
      </c>
      <c r="BD5" s="6" t="s">
        <v>126</v>
      </c>
      <c r="BE5" s="6" t="s">
        <v>126</v>
      </c>
      <c r="BF5" s="6" t="s">
        <v>126</v>
      </c>
      <c r="BG5" s="6" t="s">
        <v>126</v>
      </c>
    </row>
    <row r="6" spans="1:75" x14ac:dyDescent="0.2">
      <c r="A6" s="193"/>
      <c r="B6" s="273"/>
      <c r="C6" s="193" t="s">
        <v>17</v>
      </c>
      <c r="D6" s="193"/>
      <c r="E6" s="193"/>
      <c r="F6" s="193"/>
      <c r="G6" s="193"/>
      <c r="H6" s="193"/>
      <c r="I6" s="193"/>
      <c r="J6" s="193"/>
      <c r="K6" s="55"/>
      <c r="L6" s="193"/>
      <c r="M6" s="193"/>
      <c r="N6" s="193"/>
      <c r="O6" s="144"/>
      <c r="P6" s="6" t="str">
        <f>hulp!C5</f>
        <v>(tot € 900,-)</v>
      </c>
      <c r="Q6" s="6" t="str">
        <f>P6</f>
        <v>(tot € 900,-)</v>
      </c>
      <c r="R6" s="6" t="str">
        <f>hulp!C6</f>
        <v>(van € 900 tot € 1.184)</v>
      </c>
      <c r="S6" s="6" t="str">
        <f t="shared" ref="S6" si="7">R6</f>
        <v>(van € 900 tot € 1.184)</v>
      </c>
      <c r="T6" s="6" t="str">
        <f>hulp!C7</f>
        <v>(vanaf € 1.184)</v>
      </c>
      <c r="U6" s="6" t="str">
        <f t="shared" ref="U6" si="8">T6</f>
        <v>(vanaf € 1.184)</v>
      </c>
      <c r="V6" s="6" t="str">
        <f>hulp!C10</f>
        <v>(tot € 240.000)</v>
      </c>
      <c r="W6" s="6" t="str">
        <f t="shared" ref="W6" si="9">V6</f>
        <v>(tot € 240.000)</v>
      </c>
      <c r="X6" s="6" t="str">
        <f>hulp!C11</f>
        <v>(van € 240.000 tot € 285.000)</v>
      </c>
      <c r="Y6" s="6" t="str">
        <f t="shared" ref="Y6" si="10">X6</f>
        <v>(van € 240.000 tot € 285.000)</v>
      </c>
      <c r="Z6" s="6" t="str">
        <f>hulp!C12</f>
        <v>(van € 285.000 tot € 330.000)</v>
      </c>
      <c r="AA6" s="6" t="str">
        <f t="shared" ref="AA6" si="11">Z6</f>
        <v>(van € 285.000 tot € 330.000)</v>
      </c>
      <c r="AB6" s="6" t="str">
        <f>hulp!C13</f>
        <v>(van € 330.000 tot € 405.000)</v>
      </c>
      <c r="AC6" s="6" t="str">
        <f t="shared" ref="AC6" si="12">AB6</f>
        <v>(van € 330.000 tot € 405.000)</v>
      </c>
      <c r="AD6" s="6" t="str">
        <f>hulp!C14</f>
        <v>(vanaf € 405.000)</v>
      </c>
      <c r="AE6" s="6" t="str">
        <f t="shared" ref="AE6" si="13">AD6</f>
        <v>(vanaf € 405.000)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144"/>
      <c r="AR6" s="6" t="s">
        <v>162</v>
      </c>
      <c r="AS6" s="6" t="s">
        <v>163</v>
      </c>
      <c r="AT6" s="6" t="s">
        <v>164</v>
      </c>
      <c r="AU6" s="6" t="s">
        <v>165</v>
      </c>
      <c r="AV6" s="6" t="s">
        <v>162</v>
      </c>
      <c r="AW6" s="6" t="s">
        <v>163</v>
      </c>
      <c r="AX6" s="6" t="s">
        <v>164</v>
      </c>
      <c r="AY6" s="6" t="s">
        <v>165</v>
      </c>
      <c r="AZ6" s="6" t="s">
        <v>162</v>
      </c>
      <c r="BA6" s="6" t="s">
        <v>163</v>
      </c>
      <c r="BB6" s="6" t="s">
        <v>164</v>
      </c>
      <c r="BC6" s="6" t="s">
        <v>165</v>
      </c>
      <c r="BD6" s="6" t="s">
        <v>162</v>
      </c>
      <c r="BE6" s="6" t="s">
        <v>163</v>
      </c>
      <c r="BF6" s="6" t="s">
        <v>164</v>
      </c>
      <c r="BG6" s="6" t="s">
        <v>165</v>
      </c>
    </row>
    <row r="7" spans="1:75" x14ac:dyDescent="0.2">
      <c r="A7" s="193" t="s">
        <v>166</v>
      </c>
      <c r="B7" s="273"/>
      <c r="C7" s="193"/>
      <c r="D7" s="193"/>
      <c r="E7" s="193"/>
      <c r="F7" s="193"/>
      <c r="G7" s="193"/>
      <c r="H7" s="193"/>
      <c r="I7" s="193"/>
      <c r="J7" s="193"/>
      <c r="K7" s="55"/>
      <c r="L7" s="193"/>
      <c r="M7" s="193"/>
      <c r="N7" s="193"/>
      <c r="O7" s="144"/>
      <c r="P7" s="6" t="str">
        <f>hulp!$D$5</f>
        <v>Eengezins</v>
      </c>
      <c r="Q7" s="6" t="str">
        <f>hulp!$D$6</f>
        <v>Meergezins</v>
      </c>
      <c r="R7" s="6" t="str">
        <f>hulp!$D$5</f>
        <v>Eengezins</v>
      </c>
      <c r="S7" s="6" t="str">
        <f>hulp!$D$6</f>
        <v>Meergezins</v>
      </c>
      <c r="T7" s="6" t="str">
        <f>hulp!$D$5</f>
        <v>Eengezins</v>
      </c>
      <c r="U7" s="6" t="str">
        <f>hulp!$D$6</f>
        <v>Meergezins</v>
      </c>
      <c r="V7" s="6" t="str">
        <f>hulp!$D$5</f>
        <v>Eengezins</v>
      </c>
      <c r="W7" s="6" t="str">
        <f>hulp!$D$6</f>
        <v>Meergezins</v>
      </c>
      <c r="X7" s="6" t="str">
        <f>hulp!$D$5</f>
        <v>Eengezins</v>
      </c>
      <c r="Y7" s="6" t="str">
        <f>hulp!$D$6</f>
        <v>Meergezins</v>
      </c>
      <c r="Z7" s="6" t="str">
        <f>hulp!$D$5</f>
        <v>Eengezins</v>
      </c>
      <c r="AA7" s="6" t="str">
        <f>hulp!$D$6</f>
        <v>Meergezins</v>
      </c>
      <c r="AB7" s="6" t="str">
        <f>hulp!$D$5</f>
        <v>Eengezins</v>
      </c>
      <c r="AC7" s="6" t="str">
        <f>hulp!$D$6</f>
        <v>Meergezins</v>
      </c>
      <c r="AD7" s="6" t="str">
        <f>hulp!$D$5</f>
        <v>Eengezins</v>
      </c>
      <c r="AE7" s="6" t="str">
        <f>hulp!$D$6</f>
        <v>Meergezins</v>
      </c>
      <c r="AG7" s="6" t="s">
        <v>91</v>
      </c>
      <c r="AH7" s="6" t="s">
        <v>91</v>
      </c>
      <c r="AI7" s="6" t="s">
        <v>91</v>
      </c>
      <c r="AJ7" s="6" t="s">
        <v>91</v>
      </c>
      <c r="AK7" s="6" t="s">
        <v>91</v>
      </c>
      <c r="AL7" s="6" t="s">
        <v>92</v>
      </c>
      <c r="AM7" s="6" t="s">
        <v>92</v>
      </c>
      <c r="AN7" s="6" t="s">
        <v>92</v>
      </c>
      <c r="AO7" s="6" t="s">
        <v>92</v>
      </c>
      <c r="AP7" s="6" t="s">
        <v>92</v>
      </c>
      <c r="AQ7" s="144"/>
      <c r="AR7" s="6" t="s">
        <v>92</v>
      </c>
      <c r="AS7" s="6" t="s">
        <v>92</v>
      </c>
      <c r="AT7" s="6" t="s">
        <v>92</v>
      </c>
      <c r="AU7" s="6" t="s">
        <v>92</v>
      </c>
      <c r="AV7" s="6" t="s">
        <v>91</v>
      </c>
      <c r="AW7" s="6" t="s">
        <v>91</v>
      </c>
      <c r="AX7" s="6" t="s">
        <v>91</v>
      </c>
      <c r="AY7" s="6" t="s">
        <v>91</v>
      </c>
      <c r="AZ7" s="6" t="s">
        <v>92</v>
      </c>
      <c r="BA7" s="6" t="s">
        <v>92</v>
      </c>
      <c r="BB7" s="6" t="s">
        <v>92</v>
      </c>
      <c r="BC7" s="6" t="s">
        <v>92</v>
      </c>
      <c r="BD7" s="6" t="s">
        <v>91</v>
      </c>
      <c r="BE7" s="6" t="s">
        <v>91</v>
      </c>
      <c r="BF7" s="6" t="s">
        <v>91</v>
      </c>
      <c r="BG7" s="6" t="s">
        <v>91</v>
      </c>
    </row>
    <row r="8" spans="1:75" x14ac:dyDescent="0.2">
      <c r="A8" s="8" t="s">
        <v>51</v>
      </c>
      <c r="B8" s="7"/>
      <c r="C8" s="8" t="s">
        <v>167</v>
      </c>
      <c r="D8" s="8" t="s">
        <v>168</v>
      </c>
      <c r="E8" s="8" t="s">
        <v>79</v>
      </c>
      <c r="F8" s="8" t="s">
        <v>169</v>
      </c>
      <c r="G8" s="193"/>
      <c r="H8" s="8" t="s">
        <v>170</v>
      </c>
      <c r="I8" s="8" t="s">
        <v>171</v>
      </c>
      <c r="J8" s="8" t="s">
        <v>56</v>
      </c>
      <c r="L8" s="8" t="s">
        <v>172</v>
      </c>
      <c r="M8" s="8" t="s">
        <v>173</v>
      </c>
      <c r="N8" s="8" t="s">
        <v>174</v>
      </c>
      <c r="P8" s="8" t="s">
        <v>174</v>
      </c>
      <c r="Q8" s="8" t="s">
        <v>174</v>
      </c>
      <c r="R8" s="8" t="s">
        <v>174</v>
      </c>
      <c r="S8" s="8" t="s">
        <v>174</v>
      </c>
      <c r="T8" s="8" t="s">
        <v>174</v>
      </c>
      <c r="U8" s="8" t="s">
        <v>174</v>
      </c>
      <c r="V8" s="8" t="s">
        <v>174</v>
      </c>
      <c r="W8" s="8" t="s">
        <v>174</v>
      </c>
      <c r="X8" s="8" t="s">
        <v>174</v>
      </c>
      <c r="Y8" s="8" t="s">
        <v>174</v>
      </c>
      <c r="Z8" s="8" t="s">
        <v>174</v>
      </c>
      <c r="AA8" s="8" t="s">
        <v>174</v>
      </c>
      <c r="AB8" s="8" t="s">
        <v>174</v>
      </c>
      <c r="AC8" s="8" t="s">
        <v>174</v>
      </c>
      <c r="AD8" s="8" t="s">
        <v>174</v>
      </c>
      <c r="AE8" s="8" t="s">
        <v>174</v>
      </c>
      <c r="AG8" s="8" t="s">
        <v>174</v>
      </c>
      <c r="AH8" s="8" t="s">
        <v>174</v>
      </c>
      <c r="AI8" s="8" t="s">
        <v>174</v>
      </c>
      <c r="AJ8" s="8" t="s">
        <v>174</v>
      </c>
      <c r="AK8" s="8" t="s">
        <v>174</v>
      </c>
      <c r="AL8" s="8" t="s">
        <v>174</v>
      </c>
      <c r="AM8" s="8" t="s">
        <v>174</v>
      </c>
      <c r="AN8" s="8" t="s">
        <v>174</v>
      </c>
      <c r="AO8" s="8" t="s">
        <v>174</v>
      </c>
      <c r="AP8" s="8" t="s">
        <v>174</v>
      </c>
      <c r="AR8" s="8" t="s">
        <v>174</v>
      </c>
      <c r="AS8" s="8" t="s">
        <v>174</v>
      </c>
      <c r="AT8" s="8" t="s">
        <v>174</v>
      </c>
      <c r="AU8" s="8" t="s">
        <v>174</v>
      </c>
      <c r="AV8" s="8" t="s">
        <v>174</v>
      </c>
      <c r="AW8" s="8" t="s">
        <v>174</v>
      </c>
      <c r="AX8" s="8" t="s">
        <v>174</v>
      </c>
      <c r="AY8" s="8" t="s">
        <v>174</v>
      </c>
      <c r="AZ8" s="8" t="s">
        <v>174</v>
      </c>
      <c r="BA8" s="8" t="s">
        <v>174</v>
      </c>
      <c r="BB8" s="8" t="s">
        <v>174</v>
      </c>
      <c r="BC8" s="8" t="s">
        <v>174</v>
      </c>
      <c r="BD8" s="8" t="s">
        <v>174</v>
      </c>
      <c r="BE8" s="8" t="s">
        <v>174</v>
      </c>
      <c r="BF8" s="8" t="s">
        <v>174</v>
      </c>
      <c r="BG8" s="8" t="s">
        <v>174</v>
      </c>
      <c r="BL8" s="2" t="s">
        <v>175</v>
      </c>
      <c r="BM8" s="2" t="s">
        <v>175</v>
      </c>
      <c r="BN8" s="2" t="s">
        <v>175</v>
      </c>
      <c r="BO8" s="2" t="s">
        <v>175</v>
      </c>
    </row>
    <row r="9" spans="1:75" ht="16" thickBot="1" x14ac:dyDescent="0.25">
      <c r="A9" s="94" t="str">
        <f>hulp!A5</f>
        <v>Sociale huur (tot € 900,-)</v>
      </c>
      <c r="B9" s="94" t="s">
        <v>176</v>
      </c>
      <c r="C9" s="95">
        <f>SUMIF('Invulblad WB'!$AD:$AD,C$8&amp;$A9,'Invulblad WB'!$E:$E)</f>
        <v>0</v>
      </c>
      <c r="D9" s="95">
        <f>SUMIF('Invulblad WB'!$AD:$AD,D$8&amp;$A9,'Invulblad WB'!$E:$E)</f>
        <v>0</v>
      </c>
      <c r="E9" s="95">
        <f>SUM(C9:D9)</f>
        <v>0</v>
      </c>
      <c r="F9" s="99">
        <f>IF(E9=0,0,E9/$E$23)</f>
        <v>0</v>
      </c>
      <c r="G9" s="194"/>
      <c r="H9" s="189">
        <f>SUMIF('Invulblad WB'!$B:$B,$A9,'Invulblad WB'!$Y:$Y)</f>
        <v>0</v>
      </c>
      <c r="I9" s="189">
        <f>SUMIF('Invulblad WB'!$B:$B,$A9,'Invulblad WB'!$X:$X)</f>
        <v>0</v>
      </c>
      <c r="J9" s="99">
        <f>IF(H9=0,0,H9/I9)</f>
        <v>0</v>
      </c>
      <c r="L9" s="13" t="s">
        <v>177</v>
      </c>
      <c r="M9" s="13">
        <f>'Invulblad WB'!Z13*1.21</f>
        <v>0</v>
      </c>
      <c r="N9" s="13">
        <f>M9/1.21</f>
        <v>0</v>
      </c>
      <c r="P9" s="10">
        <f>SUMIF('Invulblad WB'!$AD$6:$AD$13,P$7&amp;P$5&amp;" "&amp;P$6,'Invulblad WB'!$AE$6:$AE$13)/1.21</f>
        <v>0</v>
      </c>
      <c r="Q9" s="10">
        <f>SUMIF('Invulblad WB'!$AD$6:$AD$13,Q$7&amp;Q$5&amp;" "&amp;Q$6,'Invulblad WB'!$AE$6:$AE$13)/1.21</f>
        <v>0</v>
      </c>
      <c r="R9" s="10">
        <f>SUMIF('Invulblad WB'!$AD$6:$AD$13,R$7&amp;R$5&amp;" "&amp;R$6,'Invulblad WB'!$AE$6:$AE$13)/1.21</f>
        <v>0</v>
      </c>
      <c r="S9" s="10">
        <f>SUMIF('Invulblad WB'!$AD$6:$AD$13,S$7&amp;S$5&amp;" "&amp;S$6,'Invulblad WB'!$AE$6:$AE$13)/1.21</f>
        <v>0</v>
      </c>
      <c r="T9" s="10">
        <f>SUMIF('Invulblad WB'!$AD$6:$AD$13,T$7&amp;T$5&amp;" "&amp;T$6,'Invulblad WB'!$AE$6:$AE$13)/1.21</f>
        <v>0</v>
      </c>
      <c r="U9" s="10">
        <f>SUMIF('Invulblad WB'!$AD$6:$AD$13,U$7&amp;U$5&amp;" "&amp;U$6,'Invulblad WB'!$AE$6:$AE$13)/1.21</f>
        <v>0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83">
        <f>N9-SUM(P9:BG9)</f>
        <v>0</v>
      </c>
      <c r="BL9" s="83"/>
    </row>
    <row r="10" spans="1:75" ht="17" thickTop="1" thickBot="1" x14ac:dyDescent="0.25">
      <c r="A10" s="136" t="s">
        <v>178</v>
      </c>
      <c r="B10" s="136"/>
      <c r="C10" s="137">
        <f>SUM(C9:C9)</f>
        <v>0</v>
      </c>
      <c r="D10" s="137">
        <f>SUM(D9:D9)</f>
        <v>0</v>
      </c>
      <c r="E10" s="137">
        <f>SUM(E9:E9)</f>
        <v>0</v>
      </c>
      <c r="F10" s="138">
        <f>IF(E10=0,0,E10/$E$23)</f>
        <v>0</v>
      </c>
      <c r="G10" s="195"/>
      <c r="H10" s="191">
        <f>SUM(H9)</f>
        <v>0</v>
      </c>
      <c r="I10" s="191">
        <f>SUM(I9)</f>
        <v>0</v>
      </c>
      <c r="J10" s="138">
        <f>IF(H10=0,0,H10/I10)</f>
        <v>0</v>
      </c>
      <c r="L10" s="10" t="s">
        <v>179</v>
      </c>
      <c r="M10" s="10">
        <f>'Invulblad WB'!Z28*1.21</f>
        <v>0</v>
      </c>
      <c r="N10" s="10">
        <f>M10/1.21</f>
        <v>0</v>
      </c>
      <c r="P10" s="10"/>
      <c r="Q10" s="10"/>
      <c r="R10" s="10"/>
      <c r="S10" s="10"/>
      <c r="T10" s="10"/>
      <c r="U10" s="10"/>
      <c r="V10" s="10">
        <f>SUMIF('Invulblad WB'!$AD$16:$AD$28,V$7&amp;V$5&amp;" "&amp;V$6,'Invulblad WB'!$AE$16:$AE$28)/1.21</f>
        <v>0</v>
      </c>
      <c r="W10" s="10">
        <f>SUMIF('Invulblad WB'!$AD$16:$AD$28,W$7&amp;W$5&amp;" "&amp;W$6,'Invulblad WB'!$AE$16:$AE$28)/1.21</f>
        <v>0</v>
      </c>
      <c r="X10" s="10">
        <f>SUMIF('Invulblad WB'!$AD$16:$AD$28,X$7&amp;X$5&amp;" "&amp;X$6,'Invulblad WB'!$AE$16:$AE$28)/1.21</f>
        <v>0</v>
      </c>
      <c r="Y10" s="10">
        <f>SUMIF('Invulblad WB'!$AD$16:$AD$28,Y$7&amp;Y$5&amp;" "&amp;Y$6,'Invulblad WB'!$AE$16:$AE$28)/1.21</f>
        <v>0</v>
      </c>
      <c r="Z10" s="10">
        <f>SUMIF('Invulblad WB'!$AD$16:$AD$28,Z$7&amp;Z$5&amp;" "&amp;Z$6,'Invulblad WB'!$AE$16:$AE$28)/1.21</f>
        <v>0</v>
      </c>
      <c r="AA10" s="10">
        <f>SUMIF('Invulblad WB'!$AD$16:$AD$28,AA$7&amp;AA$5&amp;" "&amp;AA$6,'Invulblad WB'!$AE$16:$AE$28)/1.21</f>
        <v>0</v>
      </c>
      <c r="AB10" s="10">
        <f>SUMIF('Invulblad WB'!$AD$16:$AD$28,AB$7&amp;AB$5&amp;" "&amp;AB$6,'Invulblad WB'!$AE$16:$AE$28)/1.21</f>
        <v>0</v>
      </c>
      <c r="AC10" s="10">
        <f>SUMIF('Invulblad WB'!$AD$16:$AD$28,AC$7&amp;AC$5&amp;" "&amp;AC$6,'Invulblad WB'!$AE$16:$AE$28)/1.21</f>
        <v>0</v>
      </c>
      <c r="AD10" s="10">
        <f>SUMIF('Invulblad WB'!$AD$16:$AD$28,AD$7&amp;AD$5&amp;" "&amp;AD$6,'Invulblad WB'!$AE$16:$AE$28)/1.21</f>
        <v>0</v>
      </c>
      <c r="AE10" s="10">
        <f>SUMIF('Invulblad WB'!$AD$16:$AD$28,AE$7&amp;AE$5&amp;" "&amp;AE$6,'Invulblad WB'!$AE$16:$AE$28)/1.21</f>
        <v>0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I10" s="83">
        <f t="shared" ref="BI10:BI26" si="14">N10-SUM(P10:BG10)</f>
        <v>0</v>
      </c>
      <c r="BM10" s="83"/>
    </row>
    <row r="11" spans="1:75" ht="16" thickTop="1" x14ac:dyDescent="0.2">
      <c r="A11" s="139"/>
      <c r="B11" s="139"/>
      <c r="C11" s="140"/>
      <c r="D11" s="140"/>
      <c r="E11" s="140"/>
      <c r="F11" s="141"/>
      <c r="G11" s="195"/>
      <c r="H11" s="192"/>
      <c r="I11" s="192"/>
      <c r="J11" s="141"/>
      <c r="L11" s="13" t="s">
        <v>180</v>
      </c>
      <c r="M11" s="13">
        <f>'Invulblad NWB'!X12*1.21</f>
        <v>0</v>
      </c>
      <c r="N11" s="13">
        <f>M11/1.21</f>
        <v>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G11" s="13">
        <f>SUMIF('Invulblad NWB'!$C$6:$C$12,AG$5,'Invulblad NWB'!$AJ$6:$AJ$12)</f>
        <v>0</v>
      </c>
      <c r="AH11" s="13">
        <f>SUMIF('Invulblad NWB'!$C$6:$C$12,AH$5,'Invulblad NWB'!$AJ$6:$AJ$12)</f>
        <v>0</v>
      </c>
      <c r="AI11" s="13">
        <f>SUMIF('Invulblad NWB'!$C$6:$C$12,AI$5,'Invulblad NWB'!$AJ$6:$AJ$12)</f>
        <v>0</v>
      </c>
      <c r="AJ11" s="13">
        <f>SUMIF('Invulblad NWB'!$C$6:$C$12,AJ$5,'Invulblad NWB'!$AJ$6:$AJ$12)</f>
        <v>0</v>
      </c>
      <c r="AK11" s="13">
        <f>SUMIF('Invulblad NWB'!$C$6:$C$12,AK$5,'Invulblad NWB'!$AJ$6:$AJ$12)</f>
        <v>0</v>
      </c>
      <c r="AL11" s="13">
        <f>SUMIF('Invulblad NWB'!$C$6:$C$12,AL$5,'Invulblad NWB'!$AK$6:$AK$12)</f>
        <v>0</v>
      </c>
      <c r="AM11" s="13">
        <f>SUMIF('Invulblad NWB'!$C$6:$C$12,AM$5,'Invulblad NWB'!$AK$6:$AK$12)</f>
        <v>0</v>
      </c>
      <c r="AN11" s="13">
        <f>SUMIF('Invulblad NWB'!$C$6:$C$12,AN$5,'Invulblad NWB'!$AK$6:$AK$12)</f>
        <v>0</v>
      </c>
      <c r="AO11" s="13">
        <f>SUMIF('Invulblad NWB'!$C$6:$C$12,AO$5,'Invulblad NWB'!$AK$6:$AK$12)</f>
        <v>0</v>
      </c>
      <c r="AP11" s="13">
        <f>SUMIF('Invulblad NWB'!$C$6:$C$12,AP$5,'Invulblad NWB'!$AK$6:$AK$12)</f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83">
        <f t="shared" si="14"/>
        <v>0</v>
      </c>
      <c r="BN11" s="83"/>
    </row>
    <row r="12" spans="1:75" x14ac:dyDescent="0.2">
      <c r="A12" s="10" t="str">
        <f>hulp!A6</f>
        <v>Middenhuur (van € 900 tot € 1.184)</v>
      </c>
      <c r="B12" s="10" t="s">
        <v>176</v>
      </c>
      <c r="C12" s="11">
        <f>SUMIF('Invulblad WB'!$AD:$AD,C$8&amp;$A12,'Invulblad WB'!$E:$E)</f>
        <v>0</v>
      </c>
      <c r="D12" s="11">
        <f>SUMIF('Invulblad WB'!$AD:$AD,D$8&amp;$A12,'Invulblad WB'!$E:$E)</f>
        <v>0</v>
      </c>
      <c r="E12" s="11">
        <f>SUM(C12:D12)</f>
        <v>0</v>
      </c>
      <c r="F12" s="142">
        <f t="shared" ref="F12:F17" si="15">IF(E12=0,0,E12/$E$23)</f>
        <v>0</v>
      </c>
      <c r="G12" s="196"/>
      <c r="H12" s="190">
        <f>SUMIF('Invulblad WB'!$B:$B,$A12,'Invulblad WB'!$Y:$Y)</f>
        <v>0</v>
      </c>
      <c r="I12" s="190">
        <f>SUMIF('Invulblad WB'!$B:$B,$A12,'Invulblad WB'!$X:$X)</f>
        <v>0</v>
      </c>
      <c r="J12" s="142">
        <f t="shared" ref="J12:J17" si="16">IF(H12=0,0,H12/I12)</f>
        <v>0</v>
      </c>
      <c r="L12" s="10" t="s">
        <v>181</v>
      </c>
      <c r="M12" s="318">
        <f>SUMIF('Invulblad NWB'!$C$16:$C$19,BW12,'Invulblad NWB'!$X$16:$X$19)*1.21</f>
        <v>0</v>
      </c>
      <c r="N12" s="10">
        <f>M12/1.21</f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R12" s="10">
        <f>SUMIF('Invulblad NWB'!$AB$15:$AB$25,AR$7&amp;AR$5&amp;AR$6,'Invulblad NWB'!$X$15:$X$25)</f>
        <v>0</v>
      </c>
      <c r="AS12" s="10">
        <f>SUMIF('Invulblad NWB'!$AB$15:$AB$25,AS$7&amp;AS$5&amp;AS$6,'Invulblad NWB'!$X$15:$X$25)</f>
        <v>0</v>
      </c>
      <c r="AT12" s="10">
        <f>SUMIF('Invulblad NWB'!$AB$15:$AB$25,AT$7&amp;AT$5&amp;AT$6,'Invulblad NWB'!$X$15:$X$25)</f>
        <v>0</v>
      </c>
      <c r="AU12" s="10">
        <f>SUMIF('Invulblad NWB'!$AB$15:$AB$25,AU$7&amp;AU$5&amp;AU$6,'Invulblad NWB'!$X$15:$X$25)</f>
        <v>0</v>
      </c>
      <c r="AV12" s="10">
        <f>SUMIF('Invulblad NWB'!$AB$15:$AB$25,AV$7&amp;AV$5&amp;AV$6,'Invulblad NWB'!$X$15:$X$25)</f>
        <v>0</v>
      </c>
      <c r="AW12" s="10">
        <f>SUMIF('Invulblad NWB'!$AB$15:$AB$25,AW$7&amp;AW$5&amp;AW$6,'Invulblad NWB'!$X$15:$X$25)</f>
        <v>0</v>
      </c>
      <c r="AX12" s="10">
        <f>SUMIF('Invulblad NWB'!$AB$15:$AB$25,AX$7&amp;AX$5&amp;AX$6,'Invulblad NWB'!$X$15:$X$25)</f>
        <v>0</v>
      </c>
      <c r="AY12" s="10">
        <f>SUMIF('Invulblad NWB'!$AB$15:$AB$25,AY$7&amp;AY$5&amp;AY$6,'Invulblad NWB'!$X$15:$X$25)</f>
        <v>0</v>
      </c>
      <c r="AZ12" s="10"/>
      <c r="BA12" s="10"/>
      <c r="BB12" s="10"/>
      <c r="BC12" s="10"/>
      <c r="BD12" s="10"/>
      <c r="BE12" s="10"/>
      <c r="BF12" s="10"/>
      <c r="BG12" s="10"/>
      <c r="BI12" s="83">
        <f t="shared" si="14"/>
        <v>0</v>
      </c>
      <c r="BO12" s="83"/>
      <c r="BW12" s="2" t="str">
        <f>hulp!H5</f>
        <v>Autoparkeren</v>
      </c>
    </row>
    <row r="13" spans="1:75" ht="16" thickBot="1" x14ac:dyDescent="0.25">
      <c r="A13" s="13" t="str">
        <f>hulp!A10</f>
        <v>Sociale koop (tot € 240.000)</v>
      </c>
      <c r="B13" s="13" t="s">
        <v>182</v>
      </c>
      <c r="C13" s="93">
        <f>SUMIF('Invulblad WB'!$AD:$AD,C$8&amp;$A13,'Invulblad WB'!$E:$E)</f>
        <v>0</v>
      </c>
      <c r="D13" s="93">
        <f>SUMIF('Invulblad WB'!$AD:$AD,D$8&amp;$A13,'Invulblad WB'!$E:$E)</f>
        <v>0</v>
      </c>
      <c r="E13" s="93">
        <f>SUM(C13:D13)</f>
        <v>0</v>
      </c>
      <c r="F13" s="142">
        <f t="shared" si="15"/>
        <v>0</v>
      </c>
      <c r="G13" s="196"/>
      <c r="H13" s="190">
        <f>SUMIF('Invulblad WB'!$B:$B,$A13,'Invulblad WB'!$Y:$Y)</f>
        <v>0</v>
      </c>
      <c r="I13" s="190">
        <f>SUMIF('Invulblad WB'!$B:$B,$A13,'Invulblad WB'!$X:$X)</f>
        <v>0</v>
      </c>
      <c r="J13" s="142">
        <f t="shared" si="16"/>
        <v>0</v>
      </c>
      <c r="L13" s="131" t="s">
        <v>183</v>
      </c>
      <c r="M13" s="319">
        <f>SUMIF('Invulblad NWB'!$C$20:$C$23,BW13,'Invulblad NWB'!$X$20:$X$23)*1.21</f>
        <v>0</v>
      </c>
      <c r="N13" s="131">
        <f>M13/1.21</f>
        <v>0</v>
      </c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R13" s="131"/>
      <c r="AS13" s="131"/>
      <c r="AT13" s="131"/>
      <c r="AU13" s="131"/>
      <c r="AV13" s="131"/>
      <c r="AW13" s="131"/>
      <c r="AX13" s="131"/>
      <c r="AY13" s="131"/>
      <c r="AZ13" s="131">
        <f>SUMIF('Invulblad NWB'!$AB$15:$AB$25,AZ$7&amp;AZ$5&amp;AZ$6,'Invulblad NWB'!$X$15:$X$25)</f>
        <v>0</v>
      </c>
      <c r="BA13" s="131">
        <f>SUMIF('Invulblad NWB'!$AB$15:$AB$25,BA$7&amp;BA$5&amp;BA$6,'Invulblad NWB'!$X$15:$X$25)</f>
        <v>0</v>
      </c>
      <c r="BB13" s="131">
        <f>SUMIF('Invulblad NWB'!$AB$15:$AB$25,BB$7&amp;BB$5&amp;BB$6,'Invulblad NWB'!$X$15:$X$25)</f>
        <v>0</v>
      </c>
      <c r="BC13" s="131">
        <f>SUMIF('Invulblad NWB'!$AB$15:$AB$25,BC$7&amp;BC$5&amp;BC$6,'Invulblad NWB'!$X$15:$X$25)</f>
        <v>0</v>
      </c>
      <c r="BD13" s="131">
        <f>SUMIF('Invulblad NWB'!$AB$15:$AB$25,BD$7&amp;BD$5&amp;BD$6,'Invulblad NWB'!$X$15:$X$25)</f>
        <v>0</v>
      </c>
      <c r="BE13" s="131">
        <f>SUMIF('Invulblad NWB'!$AB$15:$AB$25,BE$7&amp;BE$5&amp;BE$6,'Invulblad NWB'!$X$15:$X$25)</f>
        <v>0</v>
      </c>
      <c r="BF13" s="131">
        <f>SUMIF('Invulblad NWB'!$AB$15:$AB$25,BF$7&amp;BF$5&amp;BF$6,'Invulblad NWB'!$X$15:$X$25)</f>
        <v>0</v>
      </c>
      <c r="BG13" s="131">
        <f>SUMIF('Invulblad NWB'!$AB$15:$AB$25,BG$7&amp;BG$5&amp;BG$6,'Invulblad NWB'!$X$15:$X$25)</f>
        <v>0</v>
      </c>
      <c r="BI13" s="83">
        <f t="shared" si="14"/>
        <v>0</v>
      </c>
      <c r="BW13" s="2" t="str">
        <f>hulp!H6</f>
        <v>Fietsparkeren</v>
      </c>
    </row>
    <row r="14" spans="1:75" ht="16" thickBot="1" x14ac:dyDescent="0.25">
      <c r="A14" s="13" t="str">
        <f>hulp!A11</f>
        <v>Lage middeldure koop (van € 240.000 tot € 285.000)</v>
      </c>
      <c r="B14" s="13" t="s">
        <v>182</v>
      </c>
      <c r="C14" s="93">
        <f>SUMIF('Invulblad WB'!$AD:$AD,C$8&amp;$A14,'Invulblad WB'!$E:$E)</f>
        <v>0</v>
      </c>
      <c r="D14" s="93">
        <f>SUMIF('Invulblad WB'!$AD:$AD,D$8&amp;$A14,'Invulblad WB'!$E:$E)</f>
        <v>0</v>
      </c>
      <c r="E14" s="93">
        <f>SUM(C14:D14)</f>
        <v>0</v>
      </c>
      <c r="F14" s="142">
        <f t="shared" si="15"/>
        <v>0</v>
      </c>
      <c r="G14" s="196"/>
      <c r="H14" s="190">
        <f>SUMIF('Invulblad WB'!$B:$B,$A14,'Invulblad WB'!$Y:$Y)</f>
        <v>0</v>
      </c>
      <c r="I14" s="190">
        <f>SUMIF('Invulblad WB'!$B:$B,$A14,'Invulblad WB'!$X:$X)</f>
        <v>0</v>
      </c>
      <c r="J14" s="142">
        <f t="shared" si="16"/>
        <v>0</v>
      </c>
      <c r="L14" s="132" t="s">
        <v>109</v>
      </c>
      <c r="M14" s="143">
        <f>SUM(M9:M13)</f>
        <v>0</v>
      </c>
      <c r="N14" s="143">
        <f>SUM(N9:N13)</f>
        <v>0</v>
      </c>
      <c r="P14" s="143">
        <f t="shared" ref="P14:AE14" si="17">SUM(P9:P13)</f>
        <v>0</v>
      </c>
      <c r="Q14" s="143">
        <f t="shared" si="17"/>
        <v>0</v>
      </c>
      <c r="R14" s="143">
        <f t="shared" si="17"/>
        <v>0</v>
      </c>
      <c r="S14" s="143">
        <f t="shared" si="17"/>
        <v>0</v>
      </c>
      <c r="T14" s="143">
        <f t="shared" si="17"/>
        <v>0</v>
      </c>
      <c r="U14" s="143">
        <f t="shared" si="17"/>
        <v>0</v>
      </c>
      <c r="V14" s="143">
        <f t="shared" si="17"/>
        <v>0</v>
      </c>
      <c r="W14" s="143">
        <f t="shared" si="17"/>
        <v>0</v>
      </c>
      <c r="X14" s="143">
        <f t="shared" si="17"/>
        <v>0</v>
      </c>
      <c r="Y14" s="143">
        <f t="shared" si="17"/>
        <v>0</v>
      </c>
      <c r="Z14" s="143">
        <f t="shared" si="17"/>
        <v>0</v>
      </c>
      <c r="AA14" s="143">
        <f t="shared" si="17"/>
        <v>0</v>
      </c>
      <c r="AB14" s="143">
        <f t="shared" si="17"/>
        <v>0</v>
      </c>
      <c r="AC14" s="143">
        <f t="shared" si="17"/>
        <v>0</v>
      </c>
      <c r="AD14" s="143">
        <f t="shared" si="17"/>
        <v>0</v>
      </c>
      <c r="AE14" s="143">
        <f t="shared" si="17"/>
        <v>0</v>
      </c>
      <c r="AG14" s="143">
        <f t="shared" ref="AG14:AP14" si="18">SUM(AG9:AG13)</f>
        <v>0</v>
      </c>
      <c r="AH14" s="143">
        <f t="shared" si="18"/>
        <v>0</v>
      </c>
      <c r="AI14" s="143">
        <f t="shared" si="18"/>
        <v>0</v>
      </c>
      <c r="AJ14" s="143">
        <f t="shared" si="18"/>
        <v>0</v>
      </c>
      <c r="AK14" s="143">
        <f t="shared" si="18"/>
        <v>0</v>
      </c>
      <c r="AL14" s="143">
        <f t="shared" si="18"/>
        <v>0</v>
      </c>
      <c r="AM14" s="143">
        <f t="shared" si="18"/>
        <v>0</v>
      </c>
      <c r="AN14" s="143">
        <f t="shared" si="18"/>
        <v>0</v>
      </c>
      <c r="AO14" s="143">
        <f t="shared" si="18"/>
        <v>0</v>
      </c>
      <c r="AP14" s="143">
        <f t="shared" si="18"/>
        <v>0</v>
      </c>
      <c r="AQ14" s="143"/>
      <c r="AR14" s="143">
        <f t="shared" ref="AR14:BG14" si="19">SUM(AR9:AR13)</f>
        <v>0</v>
      </c>
      <c r="AS14" s="143">
        <f t="shared" si="19"/>
        <v>0</v>
      </c>
      <c r="AT14" s="143">
        <f t="shared" si="19"/>
        <v>0</v>
      </c>
      <c r="AU14" s="143">
        <f t="shared" si="19"/>
        <v>0</v>
      </c>
      <c r="AV14" s="143">
        <f t="shared" si="19"/>
        <v>0</v>
      </c>
      <c r="AW14" s="143">
        <f t="shared" si="19"/>
        <v>0</v>
      </c>
      <c r="AX14" s="143">
        <f t="shared" si="19"/>
        <v>0</v>
      </c>
      <c r="AY14" s="143">
        <f t="shared" si="19"/>
        <v>0</v>
      </c>
      <c r="AZ14" s="143">
        <f t="shared" si="19"/>
        <v>0</v>
      </c>
      <c r="BA14" s="143">
        <f t="shared" si="19"/>
        <v>0</v>
      </c>
      <c r="BB14" s="143">
        <f t="shared" si="19"/>
        <v>0</v>
      </c>
      <c r="BC14" s="143">
        <f t="shared" si="19"/>
        <v>0</v>
      </c>
      <c r="BD14" s="143">
        <f t="shared" si="19"/>
        <v>0</v>
      </c>
      <c r="BE14" s="143">
        <f t="shared" si="19"/>
        <v>0</v>
      </c>
      <c r="BF14" s="143">
        <f t="shared" si="19"/>
        <v>0</v>
      </c>
      <c r="BG14" s="143">
        <f t="shared" si="19"/>
        <v>0</v>
      </c>
      <c r="BI14" s="83">
        <f t="shared" si="14"/>
        <v>0</v>
      </c>
    </row>
    <row r="15" spans="1:75" ht="16" thickTop="1" x14ac:dyDescent="0.2">
      <c r="A15" s="13" t="str">
        <f>hulp!A12</f>
        <v>Midden middeldure koop (van € 285.000 tot € 330.000)</v>
      </c>
      <c r="B15" s="144" t="s">
        <v>182</v>
      </c>
      <c r="C15" s="145">
        <f>SUMIF('Invulblad WB'!$AD:$AD,C$8&amp;$A15,'Invulblad WB'!$E:$E)</f>
        <v>0</v>
      </c>
      <c r="D15" s="145">
        <f>SUMIF('Invulblad WB'!$AD:$AD,D$8&amp;$A15,'Invulblad WB'!$E:$E)</f>
        <v>0</v>
      </c>
      <c r="E15" s="145">
        <f>SUM(C15:D15)</f>
        <v>0</v>
      </c>
      <c r="F15" s="142">
        <f t="shared" si="15"/>
        <v>0</v>
      </c>
      <c r="G15" s="196"/>
      <c r="H15" s="190">
        <f>SUMIF('Invulblad WB'!$B:$B,$A15,'Invulblad WB'!$Y:$Y)</f>
        <v>0</v>
      </c>
      <c r="I15" s="190">
        <f>SUMIF('Invulblad WB'!$B:$B,$A15,'Invulblad WB'!$X:$X)</f>
        <v>0</v>
      </c>
      <c r="J15" s="142">
        <f t="shared" si="16"/>
        <v>0</v>
      </c>
      <c r="L15" s="133"/>
      <c r="M15" s="133"/>
      <c r="N15" s="133"/>
      <c r="BI15" s="83"/>
      <c r="BL15" s="2" t="s">
        <v>184</v>
      </c>
      <c r="BM15" s="2" t="s">
        <v>185</v>
      </c>
      <c r="BN15" s="2" t="s">
        <v>141</v>
      </c>
      <c r="BO15" s="2" t="s">
        <v>186</v>
      </c>
      <c r="BQ15" s="2" t="s">
        <v>187</v>
      </c>
      <c r="BR15" s="2" t="s">
        <v>187</v>
      </c>
      <c r="BS15" s="2" t="s">
        <v>187</v>
      </c>
      <c r="BT15" s="2" t="s">
        <v>187</v>
      </c>
    </row>
    <row r="16" spans="1:75" ht="16" thickBot="1" x14ac:dyDescent="0.25">
      <c r="A16" s="13" t="str">
        <f>hulp!A13</f>
        <v>Hoge middeldure koop (van € 330.000 tot € 405.000)</v>
      </c>
      <c r="B16" s="131" t="s">
        <v>182</v>
      </c>
      <c r="C16" s="146">
        <f>SUMIF('Invulblad WB'!$AD:$AD,C$8&amp;$A16,'Invulblad WB'!$E:$E)</f>
        <v>0</v>
      </c>
      <c r="D16" s="146">
        <f>SUMIF('Invulblad WB'!$AD:$AD,D$8&amp;$A16,'Invulblad WB'!$E:$E)</f>
        <v>0</v>
      </c>
      <c r="E16" s="146">
        <f>SUM(C16:D16)</f>
        <v>0</v>
      </c>
      <c r="F16" s="142">
        <f t="shared" si="15"/>
        <v>0</v>
      </c>
      <c r="G16" s="196"/>
      <c r="H16" s="190">
        <f>SUMIF('Invulblad WB'!$B:$B,$A16,'Invulblad WB'!$Y:$Y)</f>
        <v>0</v>
      </c>
      <c r="I16" s="190">
        <f>SUMIF('Invulblad WB'!$B:$B,$A16,'Invulblad WB'!$X:$X)</f>
        <v>0</v>
      </c>
      <c r="J16" s="142">
        <f t="shared" si="16"/>
        <v>0</v>
      </c>
      <c r="L16" s="8" t="s">
        <v>188</v>
      </c>
      <c r="M16" s="8"/>
      <c r="N16" s="8" t="s">
        <v>174</v>
      </c>
      <c r="P16" s="8" t="s">
        <v>174</v>
      </c>
      <c r="Q16" s="8" t="s">
        <v>174</v>
      </c>
      <c r="R16" s="8" t="s">
        <v>174</v>
      </c>
      <c r="S16" s="8" t="s">
        <v>174</v>
      </c>
      <c r="T16" s="8" t="s">
        <v>174</v>
      </c>
      <c r="U16" s="8" t="s">
        <v>174</v>
      </c>
      <c r="V16" s="8" t="s">
        <v>174</v>
      </c>
      <c r="W16" s="8" t="s">
        <v>174</v>
      </c>
      <c r="X16" s="8" t="s">
        <v>174</v>
      </c>
      <c r="Y16" s="8" t="s">
        <v>174</v>
      </c>
      <c r="Z16" s="8" t="s">
        <v>174</v>
      </c>
      <c r="AA16" s="8" t="s">
        <v>174</v>
      </c>
      <c r="AB16" s="8" t="s">
        <v>174</v>
      </c>
      <c r="AC16" s="8" t="s">
        <v>174</v>
      </c>
      <c r="AD16" s="8" t="s">
        <v>174</v>
      </c>
      <c r="AE16" s="8" t="s">
        <v>174</v>
      </c>
      <c r="AG16" s="8" t="s">
        <v>174</v>
      </c>
      <c r="AH16" s="8" t="s">
        <v>174</v>
      </c>
      <c r="AI16" s="8" t="s">
        <v>174</v>
      </c>
      <c r="AJ16" s="8" t="s">
        <v>174</v>
      </c>
      <c r="AK16" s="8" t="s">
        <v>174</v>
      </c>
      <c r="AL16" s="8" t="s">
        <v>174</v>
      </c>
      <c r="AM16" s="8" t="s">
        <v>174</v>
      </c>
      <c r="AN16" s="8" t="s">
        <v>174</v>
      </c>
      <c r="AO16" s="8" t="s">
        <v>174</v>
      </c>
      <c r="AP16" s="8" t="s">
        <v>174</v>
      </c>
      <c r="AR16" s="8" t="s">
        <v>174</v>
      </c>
      <c r="AS16" s="8" t="s">
        <v>174</v>
      </c>
      <c r="AT16" s="8" t="s">
        <v>174</v>
      </c>
      <c r="AU16" s="8" t="s">
        <v>174</v>
      </c>
      <c r="AV16" s="8" t="s">
        <v>174</v>
      </c>
      <c r="AW16" s="8" t="s">
        <v>174</v>
      </c>
      <c r="AX16" s="8" t="s">
        <v>174</v>
      </c>
      <c r="AY16" s="8" t="s">
        <v>174</v>
      </c>
      <c r="AZ16" s="8" t="s">
        <v>174</v>
      </c>
      <c r="BA16" s="8" t="s">
        <v>174</v>
      </c>
      <c r="BB16" s="8" t="s">
        <v>174</v>
      </c>
      <c r="BC16" s="8" t="s">
        <v>174</v>
      </c>
      <c r="BD16" s="8" t="s">
        <v>174</v>
      </c>
      <c r="BE16" s="8" t="s">
        <v>174</v>
      </c>
      <c r="BF16" s="8" t="s">
        <v>174</v>
      </c>
      <c r="BG16" s="8" t="s">
        <v>174</v>
      </c>
      <c r="BI16" s="83"/>
    </row>
    <row r="17" spans="1:72" ht="17" thickTop="1" thickBot="1" x14ac:dyDescent="0.25">
      <c r="A17" s="132" t="s">
        <v>189</v>
      </c>
      <c r="B17" s="132"/>
      <c r="C17" s="147">
        <f>SUM(C12:C16)</f>
        <v>0</v>
      </c>
      <c r="D17" s="147">
        <f>SUM(D12:D16)</f>
        <v>0</v>
      </c>
      <c r="E17" s="147">
        <f>SUM(E12:E16)</f>
        <v>0</v>
      </c>
      <c r="F17" s="138">
        <f t="shared" si="15"/>
        <v>0</v>
      </c>
      <c r="G17" s="195"/>
      <c r="H17" s="191">
        <f>SUM(H12:H16)</f>
        <v>0</v>
      </c>
      <c r="I17" s="191">
        <f>SUM(I12:I16)</f>
        <v>0</v>
      </c>
      <c r="J17" s="138">
        <f t="shared" si="16"/>
        <v>0</v>
      </c>
      <c r="L17" s="10" t="s">
        <v>44</v>
      </c>
      <c r="M17" s="10"/>
      <c r="N17" s="10">
        <f>SUM(BL17:BO17)</f>
        <v>0</v>
      </c>
      <c r="P17" s="10">
        <f>SUMIF('Invulblad WB'!$AD:$AD,P$7&amp;P$5&amp;" "&amp;P$6,'Invulblad WB'!$AJ:$AJ)</f>
        <v>0</v>
      </c>
      <c r="Q17" s="10">
        <f>SUMIF('Invulblad WB'!$AD:$AD,Q$7&amp;Q$5&amp;" "&amp;Q$6,'Invulblad WB'!$AJ:$AJ)</f>
        <v>0</v>
      </c>
      <c r="R17" s="10">
        <f>SUMIF('Invulblad WB'!$AD:$AD,R$7&amp;R$5&amp;" "&amp;R$6,'Invulblad WB'!$AJ:$AJ)</f>
        <v>0</v>
      </c>
      <c r="S17" s="10">
        <f>SUMIF('Invulblad WB'!$AD:$AD,S$7&amp;S$5&amp;" "&amp;S$6,'Invulblad WB'!$AJ:$AJ)</f>
        <v>0</v>
      </c>
      <c r="T17" s="10">
        <f>SUMIF('Invulblad WB'!$AD:$AD,T$7&amp;T$5&amp;" "&amp;T$6,'Invulblad WB'!$AJ:$AJ)</f>
        <v>0</v>
      </c>
      <c r="U17" s="10">
        <f>SUMIF('Invulblad WB'!$AD:$AD,U$7&amp;U$5&amp;" "&amp;U$6,'Invulblad WB'!$AJ:$AJ)</f>
        <v>0</v>
      </c>
      <c r="V17" s="10">
        <f>SUMIF('Invulblad WB'!$AD:$AD,V$7&amp;V$5&amp;" "&amp;V$6,'Invulblad WB'!$AJ:$AJ)</f>
        <v>0</v>
      </c>
      <c r="W17" s="10">
        <f>SUMIF('Invulblad WB'!$AD:$AD,W$7&amp;W$5&amp;" "&amp;W$6,'Invulblad WB'!$AJ:$AJ)</f>
        <v>0</v>
      </c>
      <c r="X17" s="10">
        <f>SUMIF('Invulblad WB'!$AD:$AD,X$7&amp;X$5&amp;" "&amp;X$6,'Invulblad WB'!$AJ:$AJ)</f>
        <v>0</v>
      </c>
      <c r="Y17" s="10">
        <f>SUMIF('Invulblad WB'!$AD:$AD,Y$7&amp;Y$5&amp;" "&amp;Y$6,'Invulblad WB'!$AJ:$AJ)</f>
        <v>0</v>
      </c>
      <c r="Z17" s="10">
        <f>SUMIF('Invulblad WB'!$AD:$AD,Z$7&amp;Z$5&amp;" "&amp;Z$6,'Invulblad WB'!$AJ:$AJ)</f>
        <v>0</v>
      </c>
      <c r="AA17" s="10">
        <f>SUMIF('Invulblad WB'!$AD:$AD,AA$7&amp;AA$5&amp;" "&amp;AA$6,'Invulblad WB'!$AJ:$AJ)</f>
        <v>0</v>
      </c>
      <c r="AB17" s="10">
        <f>SUMIF('Invulblad WB'!$AD:$AD,AB$7&amp;AB$5&amp;" "&amp;AB$6,'Invulblad WB'!$AJ:$AJ)</f>
        <v>0</v>
      </c>
      <c r="AC17" s="10">
        <f>SUMIF('Invulblad WB'!$AD:$AD,AC$7&amp;AC$5&amp;" "&amp;AC$6,'Invulblad WB'!$AJ:$AJ)</f>
        <v>0</v>
      </c>
      <c r="AD17" s="10">
        <f>SUMIF('Invulblad WB'!$AD:$AD,AD$7&amp;AD$5&amp;" "&amp;AD$6,'Invulblad WB'!$AJ:$AJ)</f>
        <v>0</v>
      </c>
      <c r="AE17" s="10">
        <f>SUMIF('Invulblad WB'!$AD:$AD,AE$7&amp;AE$5&amp;" "&amp;AE$6,'Invulblad WB'!$AJ:$AJ)</f>
        <v>0</v>
      </c>
      <c r="AG17" s="10">
        <f>SUMIF('Invulblad NWB'!$AB$5:$AB$12,AG$5,'Invulblad NWB'!$AL$5:$AL$12)</f>
        <v>0</v>
      </c>
      <c r="AH17" s="10">
        <f>SUMIF('Invulblad NWB'!$AB$5:$AB$12,AH$5,'Invulblad NWB'!$AL$5:$AL$12)</f>
        <v>0</v>
      </c>
      <c r="AI17" s="10">
        <f>SUMIF('Invulblad NWB'!$AB$5:$AB$12,AI$5,'Invulblad NWB'!$AL$5:$AL$12)</f>
        <v>0</v>
      </c>
      <c r="AJ17" s="10">
        <f>SUMIF('Invulblad NWB'!$AB$5:$AB$12,AJ$5,'Invulblad NWB'!$AL$5:$AL$12)</f>
        <v>0</v>
      </c>
      <c r="AK17" s="10">
        <f>SUMIF('Invulblad NWB'!$AB$5:$AB$12,AK$5,'Invulblad NWB'!$AL$5:$AL$12)</f>
        <v>0</v>
      </c>
      <c r="AL17" s="10">
        <f>SUMIF('Invulblad NWB'!$AB$5:$AB$12,AL$5,'Invulblad NWB'!$AZ$5:$AZ$12)</f>
        <v>0</v>
      </c>
      <c r="AM17" s="10">
        <f>SUMIF('Invulblad NWB'!$AB$5:$AB$12,AM$5,'Invulblad NWB'!$AZ$5:$AZ$12)</f>
        <v>0</v>
      </c>
      <c r="AN17" s="10">
        <f>SUMIF('Invulblad NWB'!$AB$5:$AB$12,AN$5,'Invulblad NWB'!$AZ$5:$AZ$12)</f>
        <v>0</v>
      </c>
      <c r="AO17" s="10">
        <f>SUMIF('Invulblad NWB'!$AB$5:$AB$12,AO$5,'Invulblad NWB'!$AZ$5:$AZ$12)</f>
        <v>0</v>
      </c>
      <c r="AP17" s="10">
        <f>SUMIF('Invulblad NWB'!$AB$5:$AB$12,AP$5,'Invulblad NWB'!$AZ$5:$AZ$12)</f>
        <v>0</v>
      </c>
      <c r="AQ17" s="10"/>
      <c r="AR17" s="10">
        <f>SUMIF('Invulblad NWB'!$D$15:$D$25,AR$6,'Invulblad NWB'!$AZ$15:$AZ$25)</f>
        <v>0</v>
      </c>
      <c r="AS17" s="10">
        <f>SUMIF('Invulblad NWB'!$D$15:$D$25,AS$6,'Invulblad NWB'!$AZ$15:$AZ$25)</f>
        <v>0</v>
      </c>
      <c r="AT17" s="10">
        <f>SUMIF('Invulblad NWB'!$D$15:$D$25,AT$6,'Invulblad NWB'!$AZ$15:$AZ$25)</f>
        <v>0</v>
      </c>
      <c r="AU17" s="10">
        <f>SUMIF('Invulblad NWB'!$D$15:$D$25,AU$6,'Invulblad NWB'!$AZ$15:$AZ$25)</f>
        <v>0</v>
      </c>
      <c r="AV17" s="10">
        <f>SUMIF('Invulblad NWB'!$D$15:$D$25,AV$6,'Invulblad NWB'!$AL$15:$AL$25)</f>
        <v>0</v>
      </c>
      <c r="AW17" s="10">
        <f>SUMIF('Invulblad NWB'!$D$15:$D$25,AW$6,'Invulblad NWB'!$AL$15:$AL$25)</f>
        <v>0</v>
      </c>
      <c r="AX17" s="10">
        <f>SUMIF('Invulblad NWB'!$D$15:$D$25,AX$6,'Invulblad NWB'!$AL$15:$AL$25)</f>
        <v>0</v>
      </c>
      <c r="AY17" s="10">
        <f>SUMIF('Invulblad NWB'!$D$15:$D$25,AY$6,'Invulblad NWB'!$AL$15:$AL$25)</f>
        <v>0</v>
      </c>
      <c r="AZ17" s="10">
        <f>SUMIF('Invulblad NWB'!$D$15:$D$25,AZ$6,'Invulblad NWB'!$CC$15:$CC$25)</f>
        <v>0</v>
      </c>
      <c r="BA17" s="10">
        <f>SUMIF('Invulblad NWB'!$D$15:$D$25,BA$6,'Invulblad NWB'!$CC$15:$CC$25)</f>
        <v>0</v>
      </c>
      <c r="BB17" s="10">
        <f>SUMIF('Invulblad NWB'!$D$15:$D$25,BB$6,'Invulblad NWB'!$CC$15:$CC$25)</f>
        <v>0</v>
      </c>
      <c r="BC17" s="10">
        <f>SUMIF('Invulblad NWB'!$D$15:$D$25,BC$6,'Invulblad NWB'!$CC$15:$CC$25)</f>
        <v>0</v>
      </c>
      <c r="BD17" s="10">
        <f>SUMIF('Invulblad NWB'!$D$15:$D$25,BD$6,'Invulblad NWB'!$BO$15:$BO$25)</f>
        <v>0</v>
      </c>
      <c r="BE17" s="10">
        <f>SUMIF('Invulblad NWB'!$D$15:$D$25,BE$6,'Invulblad NWB'!$BO$15:$BO$25)</f>
        <v>0</v>
      </c>
      <c r="BF17" s="10">
        <f>SUMIF('Invulblad NWB'!$D$15:$D$25,BF$6,'Invulblad NWB'!$BO$15:$BO$25)</f>
        <v>0</v>
      </c>
      <c r="BG17" s="10">
        <f>SUMIF('Invulblad NWB'!$D$15:$D$25,BG$6,'Invulblad NWB'!$BO$15:$BO$25)</f>
        <v>0</v>
      </c>
      <c r="BI17" s="83">
        <f t="shared" si="14"/>
        <v>0</v>
      </c>
      <c r="BK17" s="83" t="str">
        <f>L17</f>
        <v>Bouwkosten</v>
      </c>
      <c r="BL17" s="57">
        <f>'Invulblad WB'!$M$28</f>
        <v>0</v>
      </c>
      <c r="BM17" s="57">
        <f>'Invulblad WB'!$M$13</f>
        <v>0</v>
      </c>
      <c r="BN17" s="57">
        <f>'Invulblad NWB'!$N$12</f>
        <v>0</v>
      </c>
      <c r="BO17" s="57">
        <f>'Invulblad NWB'!$N$25</f>
        <v>0</v>
      </c>
      <c r="BP17" s="57"/>
      <c r="BQ17" s="83">
        <f>BL17-SUM(V17:AE17)</f>
        <v>0</v>
      </c>
      <c r="BR17" s="83">
        <f>BM17-SUM(P17:U17)</f>
        <v>0</v>
      </c>
      <c r="BS17" s="83">
        <f>BN17-SUM(AG17:AP17)</f>
        <v>0</v>
      </c>
      <c r="BT17" s="83">
        <f>BO17-SUM(AR17:BG17)</f>
        <v>0</v>
      </c>
    </row>
    <row r="18" spans="1:72" ht="16" thickTop="1" x14ac:dyDescent="0.2">
      <c r="C18" s="97"/>
      <c r="D18" s="97"/>
      <c r="E18" s="97"/>
      <c r="F18" s="148"/>
      <c r="G18" s="196"/>
      <c r="H18" s="184"/>
      <c r="I18" s="184"/>
      <c r="J18" s="148"/>
      <c r="L18" s="13" t="s">
        <v>45</v>
      </c>
      <c r="M18" s="13"/>
      <c r="N18" s="13">
        <f t="shared" ref="N18:N21" si="20">SUM(BL18:BO18)</f>
        <v>0</v>
      </c>
      <c r="P18" s="10">
        <f>SUMIF('Invulblad WB'!$AD:$AD,P$7&amp;P$5&amp;" "&amp;P$6,'Invulblad WB'!$AK:$AK)</f>
        <v>0</v>
      </c>
      <c r="Q18" s="10">
        <f>SUMIF('Invulblad WB'!$AD:$AD,Q$7&amp;Q$5&amp;" "&amp;Q$6,'Invulblad WB'!$AK:$AK)</f>
        <v>0</v>
      </c>
      <c r="R18" s="10">
        <f>SUMIF('Invulblad WB'!$AD:$AD,R$7&amp;R$5&amp;" "&amp;R$6,'Invulblad WB'!$AK:$AK)</f>
        <v>0</v>
      </c>
      <c r="S18" s="10">
        <f>SUMIF('Invulblad WB'!$AD:$AD,S$7&amp;S$5&amp;" "&amp;S$6,'Invulblad WB'!$AK:$AK)</f>
        <v>0</v>
      </c>
      <c r="T18" s="10">
        <f>SUMIF('Invulblad WB'!$AD:$AD,T$7&amp;T$5&amp;" "&amp;T$6,'Invulblad WB'!$AK:$AK)</f>
        <v>0</v>
      </c>
      <c r="U18" s="10">
        <f>SUMIF('Invulblad WB'!$AD:$AD,U$7&amp;U$5&amp;" "&amp;U$6,'Invulblad WB'!$AK:$AK)</f>
        <v>0</v>
      </c>
      <c r="V18" s="10">
        <f>SUMIF('Invulblad WB'!$AD:$AD,V$7&amp;V$5&amp;" "&amp;V$6,'Invulblad WB'!$AK:$AK)</f>
        <v>0</v>
      </c>
      <c r="W18" s="10">
        <f>SUMIF('Invulblad WB'!$AD:$AD,W$7&amp;W$5&amp;" "&amp;W$6,'Invulblad WB'!$AK:$AK)</f>
        <v>0</v>
      </c>
      <c r="X18" s="10">
        <f>SUMIF('Invulblad WB'!$AD:$AD,X$7&amp;X$5&amp;" "&amp;X$6,'Invulblad WB'!$AK:$AK)</f>
        <v>0</v>
      </c>
      <c r="Y18" s="10">
        <f>SUMIF('Invulblad WB'!$AD:$AD,Y$7&amp;Y$5&amp;" "&amp;Y$6,'Invulblad WB'!$AK:$AK)</f>
        <v>0</v>
      </c>
      <c r="Z18" s="10">
        <f>SUMIF('Invulblad WB'!$AD:$AD,Z$7&amp;Z$5&amp;" "&amp;Z$6,'Invulblad WB'!$AK:$AK)</f>
        <v>0</v>
      </c>
      <c r="AA18" s="10">
        <f>SUMIF('Invulblad WB'!$AD:$AD,AA$7&amp;AA$5&amp;" "&amp;AA$6,'Invulblad WB'!$AK:$AK)</f>
        <v>0</v>
      </c>
      <c r="AB18" s="10">
        <f>SUMIF('Invulblad WB'!$AD:$AD,AB$7&amp;AB$5&amp;" "&amp;AB$6,'Invulblad WB'!$AK:$AK)</f>
        <v>0</v>
      </c>
      <c r="AC18" s="10">
        <f>SUMIF('Invulblad WB'!$AD:$AD,AC$7&amp;AC$5&amp;" "&amp;AC$6,'Invulblad WB'!$AK:$AK)</f>
        <v>0</v>
      </c>
      <c r="AD18" s="10">
        <f>SUMIF('Invulblad WB'!$AD:$AD,AD$7&amp;AD$5&amp;" "&amp;AD$6,'Invulblad WB'!$AK:$AK)</f>
        <v>0</v>
      </c>
      <c r="AE18" s="10">
        <f>SUMIF('Invulblad WB'!$AD:$AD,AE$7&amp;AE$5&amp;" "&amp;AE$6,'Invulblad WB'!$AK:$AK)</f>
        <v>0</v>
      </c>
      <c r="AG18" s="10">
        <f>SUMIF('Invulblad NWB'!$AB$5:$AB$12,AG$5,'Invulblad NWB'!$AM$5:$AM$12)</f>
        <v>0</v>
      </c>
      <c r="AH18" s="10">
        <f>SUMIF('Invulblad NWB'!$AB$5:$AB$12,AH$5,'Invulblad NWB'!$AM$5:$AM$12)</f>
        <v>0</v>
      </c>
      <c r="AI18" s="10">
        <f>SUMIF('Invulblad NWB'!$AB$5:$AB$12,AI$5,'Invulblad NWB'!$AM$5:$AM$12)</f>
        <v>0</v>
      </c>
      <c r="AJ18" s="10">
        <f>SUMIF('Invulblad NWB'!$AB$5:$AB$12,AJ$5,'Invulblad NWB'!$AM$5:$AM$12)</f>
        <v>0</v>
      </c>
      <c r="AK18" s="10">
        <f>SUMIF('Invulblad NWB'!$AB$5:$AB$12,AK$5,'Invulblad NWB'!$AM$5:$AM$12)</f>
        <v>0</v>
      </c>
      <c r="AL18" s="10">
        <f>SUMIF('Invulblad NWB'!$AB$5:$AB$12,AL$5,'Invulblad NWB'!$BA$5:$BA$12)</f>
        <v>0</v>
      </c>
      <c r="AM18" s="10">
        <f>SUMIF('Invulblad NWB'!$AB$5:$AB$12,AM$5,'Invulblad NWB'!$BA$5:$BA$12)</f>
        <v>0</v>
      </c>
      <c r="AN18" s="10">
        <f>SUMIF('Invulblad NWB'!$AB$5:$AB$12,AN$5,'Invulblad NWB'!$BA$5:$BA$12)</f>
        <v>0</v>
      </c>
      <c r="AO18" s="10">
        <f>SUMIF('Invulblad NWB'!$AB$5:$AB$12,AO$5,'Invulblad NWB'!$BA$5:$BA$12)</f>
        <v>0</v>
      </c>
      <c r="AP18" s="10">
        <f>SUMIF('Invulblad NWB'!$AB$5:$AB$12,AP$5,'Invulblad NWB'!$BA$5:$BA$12)</f>
        <v>0</v>
      </c>
      <c r="AR18" s="10">
        <f>SUMIF('Invulblad NWB'!$D$15:$D$25,AR$6,'Invulblad NWB'!$BA$15:$BA$25)</f>
        <v>0</v>
      </c>
      <c r="AS18" s="10">
        <f>SUMIF('Invulblad NWB'!$D$15:$D$25,AS$6,'Invulblad NWB'!$BA$15:$BA$25)</f>
        <v>0</v>
      </c>
      <c r="AT18" s="10">
        <f>SUMIF('Invulblad NWB'!$D$15:$D$25,AT$6,'Invulblad NWB'!$BA$15:$BA$25)</f>
        <v>0</v>
      </c>
      <c r="AU18" s="10">
        <f>SUMIF('Invulblad NWB'!$D$15:$D$25,AU$6,'Invulblad NWB'!$BA$15:$BA$25)</f>
        <v>0</v>
      </c>
      <c r="AV18" s="10">
        <f>SUMIF('Invulblad NWB'!$D$15:$D$25,AV$6,'Invulblad NWB'!$AM$15:$AM$25)</f>
        <v>0</v>
      </c>
      <c r="AW18" s="10">
        <f>SUMIF('Invulblad NWB'!$D$15:$D$25,AW$6,'Invulblad NWB'!$AM$15:$AM$25)</f>
        <v>0</v>
      </c>
      <c r="AX18" s="10">
        <f>SUMIF('Invulblad NWB'!$D$15:$D$25,AX$6,'Invulblad NWB'!$AM$15:$AM$25)</f>
        <v>0</v>
      </c>
      <c r="AY18" s="10">
        <f>SUMIF('Invulblad NWB'!$D$15:$D$25,AY$6,'Invulblad NWB'!$AM$15:$AM$25)</f>
        <v>0</v>
      </c>
      <c r="AZ18" s="10">
        <f>SUMIF('Invulblad NWB'!$D$15:$D$25,AZ$6,'Invulblad NWB'!$CD$15:$CD$25)</f>
        <v>0</v>
      </c>
      <c r="BA18" s="10">
        <f>SUMIF('Invulblad NWB'!$D$15:$D$25,BA$6,'Invulblad NWB'!$CD$15:$CD$25)</f>
        <v>0</v>
      </c>
      <c r="BB18" s="10">
        <f>SUMIF('Invulblad NWB'!$D$15:$D$25,BB$6,'Invulblad NWB'!$CD$15:$CD$25)</f>
        <v>0</v>
      </c>
      <c r="BC18" s="10">
        <f>SUMIF('Invulblad NWB'!$D$15:$D$25,BC$6,'Invulblad NWB'!$CD$15:$CD$25)</f>
        <v>0</v>
      </c>
      <c r="BD18" s="10">
        <f>SUMIF('Invulblad NWB'!$D$15:$D$25,BD$6,'Invulblad NWB'!$BP$15:$BP$25)</f>
        <v>0</v>
      </c>
      <c r="BE18" s="10">
        <f>SUMIF('Invulblad NWB'!$D$15:$D$25,BE$6,'Invulblad NWB'!$BP$15:$BP$25)</f>
        <v>0</v>
      </c>
      <c r="BF18" s="10">
        <f>SUMIF('Invulblad NWB'!$D$15:$D$25,BF$6,'Invulblad NWB'!$BP$15:$BP$25)</f>
        <v>0</v>
      </c>
      <c r="BG18" s="10">
        <f>SUMIF('Invulblad NWB'!$D$15:$D$25,BG$6,'Invulblad NWB'!$BP$15:$BP$25)</f>
        <v>0</v>
      </c>
      <c r="BI18" s="83">
        <f t="shared" si="14"/>
        <v>0</v>
      </c>
      <c r="BK18" s="83" t="str">
        <f t="shared" ref="BK18:BK22" si="21">L18</f>
        <v>Extra kosten</v>
      </c>
      <c r="BL18" s="57">
        <f>'Invulblad WB'!$O$28</f>
        <v>0</v>
      </c>
      <c r="BM18" s="57">
        <f>'Invulblad WB'!$O$13</f>
        <v>0</v>
      </c>
      <c r="BN18" s="57">
        <f>'Invulblad NWB'!$O$12</f>
        <v>0</v>
      </c>
      <c r="BO18" s="57">
        <f>'Invulblad NWB'!$O$25</f>
        <v>0</v>
      </c>
      <c r="BP18" s="57"/>
      <c r="BQ18" s="83">
        <f t="shared" ref="BQ18:BQ23" si="22">BL18-SUM(V18:AE18)</f>
        <v>0</v>
      </c>
      <c r="BR18" s="83">
        <f t="shared" ref="BR18:BR23" si="23">BM18-SUM(P18:U18)</f>
        <v>0</v>
      </c>
      <c r="BS18" s="83">
        <f t="shared" ref="BS18:BS23" si="24">BN18-SUM(AG18:AP18)</f>
        <v>0</v>
      </c>
      <c r="BT18" s="83">
        <f t="shared" ref="BT18:BT23" si="25">BO18-SUM(AR18:BG18)</f>
        <v>0</v>
      </c>
    </row>
    <row r="19" spans="1:72" ht="16" x14ac:dyDescent="0.2">
      <c r="A19" s="144" t="str">
        <f>hulp!A7</f>
        <v>Dure huur (vanaf € 1.184)</v>
      </c>
      <c r="B19" s="144" t="s">
        <v>176</v>
      </c>
      <c r="C19" s="145">
        <f>SUMIF('Invulblad WB'!$AD:$AD,C$8&amp;$A19,'Invulblad WB'!$E:$E)</f>
        <v>0</v>
      </c>
      <c r="D19" s="145">
        <f>SUMIF('Invulblad WB'!$AD:$AD,D$8&amp;$A19,'Invulblad WB'!$E:$E)</f>
        <v>0</v>
      </c>
      <c r="E19" s="145">
        <f>SUM(C19:D19)</f>
        <v>0</v>
      </c>
      <c r="F19" s="142">
        <f>IF(E19=0,0,E19/$E$23)</f>
        <v>0</v>
      </c>
      <c r="G19" s="196"/>
      <c r="H19" s="190">
        <f>SUMIF('Invulblad WB'!$B:$B,$A19,'Invulblad WB'!$Y:$Y)</f>
        <v>0</v>
      </c>
      <c r="I19" s="190">
        <f>SUMIF('Invulblad WB'!$B:$B,$A19,'Invulblad WB'!$X:$X)</f>
        <v>0</v>
      </c>
      <c r="J19" s="142">
        <f t="shared" ref="J19:J21" si="26">IF(H19=0,0,H19/I19)</f>
        <v>0</v>
      </c>
      <c r="L19" s="149" t="s">
        <v>46</v>
      </c>
      <c r="M19" s="10"/>
      <c r="N19" s="10">
        <f t="shared" si="20"/>
        <v>0</v>
      </c>
      <c r="P19" s="10">
        <f>SUMIF('Invulblad WB'!$AD:$AD,P$7&amp;P$5&amp;" "&amp;P$6,'Invulblad WB'!$AL:$AL)</f>
        <v>0</v>
      </c>
      <c r="Q19" s="10">
        <f>SUMIF('Invulblad WB'!$AD:$AD,Q$7&amp;Q$5&amp;" "&amp;Q$6,'Invulblad WB'!$AL:$AL)</f>
        <v>0</v>
      </c>
      <c r="R19" s="10">
        <f>SUMIF('Invulblad WB'!$AD:$AD,R$7&amp;R$5&amp;" "&amp;R$6,'Invulblad WB'!$AL:$AL)</f>
        <v>0</v>
      </c>
      <c r="S19" s="10">
        <f>SUMIF('Invulblad WB'!$AD:$AD,S$7&amp;S$5&amp;" "&amp;S$6,'Invulblad WB'!$AL:$AL)</f>
        <v>0</v>
      </c>
      <c r="T19" s="10">
        <f>SUMIF('Invulblad WB'!$AD:$AD,T$7&amp;T$5&amp;" "&amp;T$6,'Invulblad WB'!$AL:$AL)</f>
        <v>0</v>
      </c>
      <c r="U19" s="10">
        <f>SUMIF('Invulblad WB'!$AD:$AD,U$7&amp;U$5&amp;" "&amp;U$6,'Invulblad WB'!$AL:$AL)</f>
        <v>0</v>
      </c>
      <c r="V19" s="10">
        <f>SUMIF('Invulblad WB'!$AD:$AD,V$7&amp;V$5&amp;" "&amp;V$6,'Invulblad WB'!$AL:$AL)</f>
        <v>0</v>
      </c>
      <c r="W19" s="10">
        <f>SUMIF('Invulblad WB'!$AD:$AD,W$7&amp;W$5&amp;" "&amp;W$6,'Invulblad WB'!$AL:$AL)</f>
        <v>0</v>
      </c>
      <c r="X19" s="10">
        <f>SUMIF('Invulblad WB'!$AD:$AD,X$7&amp;X$5&amp;" "&amp;X$6,'Invulblad WB'!$AL:$AL)</f>
        <v>0</v>
      </c>
      <c r="Y19" s="10">
        <f>SUMIF('Invulblad WB'!$AD:$AD,Y$7&amp;Y$5&amp;" "&amp;Y$6,'Invulblad WB'!$AL:$AL)</f>
        <v>0</v>
      </c>
      <c r="Z19" s="10">
        <f>SUMIF('Invulblad WB'!$AD:$AD,Z$7&amp;Z$5&amp;" "&amp;Z$6,'Invulblad WB'!$AL:$AL)</f>
        <v>0</v>
      </c>
      <c r="AA19" s="10">
        <f>SUMIF('Invulblad WB'!$AD:$AD,AA$7&amp;AA$5&amp;" "&amp;AA$6,'Invulblad WB'!$AL:$AL)</f>
        <v>0</v>
      </c>
      <c r="AB19" s="10">
        <f>SUMIF('Invulblad WB'!$AD:$AD,AB$7&amp;AB$5&amp;" "&amp;AB$6,'Invulblad WB'!$AL:$AL)</f>
        <v>0</v>
      </c>
      <c r="AC19" s="10">
        <f>SUMIF('Invulblad WB'!$AD:$AD,AC$7&amp;AC$5&amp;" "&amp;AC$6,'Invulblad WB'!$AL:$AL)</f>
        <v>0</v>
      </c>
      <c r="AD19" s="10">
        <f>SUMIF('Invulblad WB'!$AD:$AD,AD$7&amp;AD$5&amp;" "&amp;AD$6,'Invulblad WB'!$AL:$AL)</f>
        <v>0</v>
      </c>
      <c r="AE19" s="10">
        <f>SUMIF('Invulblad WB'!$AD:$AD,AE$7&amp;AE$5&amp;" "&amp;AE$6,'Invulblad WB'!$AL:$AL)</f>
        <v>0</v>
      </c>
      <c r="AG19" s="10">
        <f>SUMIF('Invulblad NWB'!$AB$5:$AB$12,AG$5,'Invulblad NWB'!$AN$5:$AN$12)</f>
        <v>0</v>
      </c>
      <c r="AH19" s="10">
        <f>SUMIF('Invulblad NWB'!$AB$5:$AB$12,AH$5,'Invulblad NWB'!$AN$5:$AN$12)</f>
        <v>0</v>
      </c>
      <c r="AI19" s="10">
        <f>SUMIF('Invulblad NWB'!$AB$5:$AB$12,AI$5,'Invulblad NWB'!$AN$5:$AN$12)</f>
        <v>0</v>
      </c>
      <c r="AJ19" s="10">
        <f>SUMIF('Invulblad NWB'!$AB$5:$AB$12,AJ$5,'Invulblad NWB'!$AN$5:$AN$12)</f>
        <v>0</v>
      </c>
      <c r="AK19" s="10">
        <f>SUMIF('Invulblad NWB'!$AB$5:$AB$12,AK$5,'Invulblad NWB'!$AN$5:$AN$12)</f>
        <v>0</v>
      </c>
      <c r="AL19" s="10">
        <f>SUMIF('Invulblad NWB'!$AB$5:$AB$12,AL$5,'Invulblad NWB'!$BB$5:$BB$12)</f>
        <v>0</v>
      </c>
      <c r="AM19" s="10">
        <f>SUMIF('Invulblad NWB'!$AB$5:$AB$12,AM$5,'Invulblad NWB'!$BB$5:$BB$12)</f>
        <v>0</v>
      </c>
      <c r="AN19" s="10">
        <f>SUMIF('Invulblad NWB'!$AB$5:$AB$12,AN$5,'Invulblad NWB'!$BB$5:$BB$12)</f>
        <v>0</v>
      </c>
      <c r="AO19" s="10">
        <f>SUMIF('Invulblad NWB'!$AB$5:$AB$12,AO$5,'Invulblad NWB'!$BB$5:$BB$12)</f>
        <v>0</v>
      </c>
      <c r="AP19" s="10">
        <f>SUMIF('Invulblad NWB'!$AB$5:$AB$12,AP$5,'Invulblad NWB'!$BB$5:$BB$12)</f>
        <v>0</v>
      </c>
      <c r="AR19" s="10">
        <f>SUMIF('Invulblad NWB'!$D$15:$D$25,AR$6,'Invulblad NWB'!$BB$15:$BB$25)</f>
        <v>0</v>
      </c>
      <c r="AS19" s="10">
        <f>SUMIF('Invulblad NWB'!$D$15:$D$25,AS$6,'Invulblad NWB'!$BB$15:$BB$25)</f>
        <v>0</v>
      </c>
      <c r="AT19" s="10">
        <f>SUMIF('Invulblad NWB'!$D$15:$D$25,AT$6,'Invulblad NWB'!$BB$15:$BB$25)</f>
        <v>0</v>
      </c>
      <c r="AU19" s="10">
        <f>SUMIF('Invulblad NWB'!$D$15:$D$25,AU$6,'Invulblad NWB'!$BB$15:$BB$25)</f>
        <v>0</v>
      </c>
      <c r="AV19" s="10">
        <f>SUMIF('Invulblad NWB'!$D$15:$D$25,AV$6,'Invulblad NWB'!$AN$15:$AN$25)</f>
        <v>0</v>
      </c>
      <c r="AW19" s="10">
        <f>SUMIF('Invulblad NWB'!$D$15:$D$25,AW$6,'Invulblad NWB'!$AN$15:$AN$25)</f>
        <v>0</v>
      </c>
      <c r="AX19" s="10">
        <f>SUMIF('Invulblad NWB'!$D$15:$D$25,AX$6,'Invulblad NWB'!$AN$15:$AN$25)</f>
        <v>0</v>
      </c>
      <c r="AY19" s="10">
        <f>SUMIF('Invulblad NWB'!$D$15:$D$25,AY$6,'Invulblad NWB'!$AN$15:$AN$25)</f>
        <v>0</v>
      </c>
      <c r="AZ19" s="10">
        <f>SUMIF('Invulblad NWB'!$D$15:$D$25,AZ$6,'Invulblad NWB'!$CE$15:$CE$25)</f>
        <v>0</v>
      </c>
      <c r="BA19" s="10">
        <f>SUMIF('Invulblad NWB'!$D$15:$D$25,BA$6,'Invulblad NWB'!$CE$15:$CE$25)</f>
        <v>0</v>
      </c>
      <c r="BB19" s="10">
        <f>SUMIF('Invulblad NWB'!$D$15:$D$25,BB$6,'Invulblad NWB'!$CE$15:$CE$25)</f>
        <v>0</v>
      </c>
      <c r="BC19" s="10">
        <f>SUMIF('Invulblad NWB'!$D$15:$D$25,BC$6,'Invulblad NWB'!$CE$15:$CE$25)</f>
        <v>0</v>
      </c>
      <c r="BD19" s="10">
        <f>SUMIF('Invulblad NWB'!$D$15:$D$25,BD$6,'Invulblad NWB'!$BQ$15:$BQ$25)</f>
        <v>0</v>
      </c>
      <c r="BE19" s="10">
        <f>SUMIF('Invulblad NWB'!$D$15:$D$25,BE$6,'Invulblad NWB'!$BQ$15:$BQ$25)</f>
        <v>0</v>
      </c>
      <c r="BF19" s="10">
        <f>SUMIF('Invulblad NWB'!$D$15:$D$25,BF$6,'Invulblad NWB'!$BQ$15:$BQ$25)</f>
        <v>0</v>
      </c>
      <c r="BG19" s="10">
        <f>SUMIF('Invulblad NWB'!$D$15:$D$25,BG$6,'Invulblad NWB'!$BQ$15:$BQ$25)</f>
        <v>0</v>
      </c>
      <c r="BI19" s="83">
        <f t="shared" si="14"/>
        <v>0</v>
      </c>
      <c r="BK19" s="83" t="str">
        <f t="shared" si="21"/>
        <v>Bijkomende kosten (excl. W&amp;R)</v>
      </c>
      <c r="BL19" s="57">
        <f>'Invulblad WB'!P28</f>
        <v>0</v>
      </c>
      <c r="BM19" s="57">
        <f>'Invulblad WB'!P13</f>
        <v>0</v>
      </c>
      <c r="BN19" s="57">
        <f>'Invulblad NWB'!$Q$12</f>
        <v>0</v>
      </c>
      <c r="BO19" s="57">
        <f>'Invulblad NWB'!$Q$25</f>
        <v>0</v>
      </c>
      <c r="BP19" s="57"/>
      <c r="BQ19" s="83">
        <f>BL19-SUM(V19:AE19)</f>
        <v>0</v>
      </c>
      <c r="BR19" s="83">
        <f t="shared" si="23"/>
        <v>0</v>
      </c>
      <c r="BS19" s="83">
        <f t="shared" si="24"/>
        <v>0</v>
      </c>
      <c r="BT19" s="83">
        <f t="shared" si="25"/>
        <v>0</v>
      </c>
    </row>
    <row r="20" spans="1:72" ht="16" thickBot="1" x14ac:dyDescent="0.25">
      <c r="A20" s="131" t="str">
        <f>hulp!A14</f>
        <v>Dure koop (vanaf € 405.000)</v>
      </c>
      <c r="B20" s="131" t="s">
        <v>182</v>
      </c>
      <c r="C20" s="146">
        <f>SUMIF('Invulblad WB'!$AD:$AD,C$8&amp;$A20,'Invulblad WB'!$E:$E)</f>
        <v>0</v>
      </c>
      <c r="D20" s="146">
        <f>SUMIF('Invulblad WB'!$AD:$AD,D$8&amp;$A20,'Invulblad WB'!$E:$E)</f>
        <v>0</v>
      </c>
      <c r="E20" s="146">
        <f>SUM(C20:D20)</f>
        <v>0</v>
      </c>
      <c r="F20" s="142">
        <f>IF(E20=0,0,E20/$E$23)</f>
        <v>0</v>
      </c>
      <c r="G20" s="196"/>
      <c r="H20" s="190">
        <f>SUMIF('Invulblad WB'!$B:$B,$A20,'Invulblad WB'!$Y:$Y)</f>
        <v>0</v>
      </c>
      <c r="I20" s="190">
        <f>SUMIF('Invulblad WB'!$B:$B,$A20,'Invulblad WB'!$X:$X)</f>
        <v>0</v>
      </c>
      <c r="J20" s="142">
        <f t="shared" si="26"/>
        <v>0</v>
      </c>
      <c r="L20" s="13" t="s">
        <v>47</v>
      </c>
      <c r="M20" s="13"/>
      <c r="N20" s="10">
        <f t="shared" si="20"/>
        <v>0</v>
      </c>
      <c r="P20" s="10">
        <f>SUMIF('Invulblad WB'!$AD:$AD,P$7&amp;P$5&amp;" "&amp;P$6,'Invulblad WB'!$AM:$AM)</f>
        <v>0</v>
      </c>
      <c r="Q20" s="10">
        <f>SUMIF('Invulblad WB'!$AD:$AD,Q$7&amp;Q$5&amp;" "&amp;Q$6,'Invulblad WB'!$AM:$AM)</f>
        <v>0</v>
      </c>
      <c r="R20" s="10">
        <f>SUMIF('Invulblad WB'!$AD:$AD,R$7&amp;R$5&amp;" "&amp;R$6,'Invulblad WB'!$AM:$AM)</f>
        <v>0</v>
      </c>
      <c r="S20" s="10">
        <f>SUMIF('Invulblad WB'!$AD:$AD,S$7&amp;S$5&amp;" "&amp;S$6,'Invulblad WB'!$AM:$AM)</f>
        <v>0</v>
      </c>
      <c r="T20" s="10">
        <f>SUMIF('Invulblad WB'!$AD:$AD,T$7&amp;T$5&amp;" "&amp;T$6,'Invulblad WB'!$AM:$AM)</f>
        <v>0</v>
      </c>
      <c r="U20" s="10">
        <f>SUMIF('Invulblad WB'!$AD:$AD,U$7&amp;U$5&amp;" "&amp;U$6,'Invulblad WB'!$AM:$AM)</f>
        <v>0</v>
      </c>
      <c r="V20" s="10">
        <f>SUMIF('Invulblad WB'!$AD:$AD,V$7&amp;V$5&amp;" "&amp;V$6,'Invulblad WB'!$AM:$AM)</f>
        <v>0</v>
      </c>
      <c r="W20" s="10">
        <f>SUMIF('Invulblad WB'!$AD:$AD,W$7&amp;W$5&amp;" "&amp;W$6,'Invulblad WB'!$AM:$AM)</f>
        <v>0</v>
      </c>
      <c r="X20" s="10">
        <f>SUMIF('Invulblad WB'!$AD:$AD,X$7&amp;X$5&amp;" "&amp;X$6,'Invulblad WB'!$AM:$AM)</f>
        <v>0</v>
      </c>
      <c r="Y20" s="10">
        <f>SUMIF('Invulblad WB'!$AD:$AD,Y$7&amp;Y$5&amp;" "&amp;Y$6,'Invulblad WB'!$AM:$AM)</f>
        <v>0</v>
      </c>
      <c r="Z20" s="10">
        <f>SUMIF('Invulblad WB'!$AD:$AD,Z$7&amp;Z$5&amp;" "&amp;Z$6,'Invulblad WB'!$AM:$AM)</f>
        <v>0</v>
      </c>
      <c r="AA20" s="10">
        <f>SUMIF('Invulblad WB'!$AD:$AD,AA$7&amp;AA$5&amp;" "&amp;AA$6,'Invulblad WB'!$AM:$AM)</f>
        <v>0</v>
      </c>
      <c r="AB20" s="10">
        <f>SUMIF('Invulblad WB'!$AD:$AD,AB$7&amp;AB$5&amp;" "&amp;AB$6,'Invulblad WB'!$AM:$AM)</f>
        <v>0</v>
      </c>
      <c r="AC20" s="10">
        <f>SUMIF('Invulblad WB'!$AD:$AD,AC$7&amp;AC$5&amp;" "&amp;AC$6,'Invulblad WB'!$AM:$AM)</f>
        <v>0</v>
      </c>
      <c r="AD20" s="10">
        <f>SUMIF('Invulblad WB'!$AD:$AD,AD$7&amp;AD$5&amp;" "&amp;AD$6,'Invulblad WB'!$AM:$AM)</f>
        <v>0</v>
      </c>
      <c r="AE20" s="10">
        <f>SUMIF('Invulblad WB'!$AD:$AD,AE$7&amp;AE$5&amp;" "&amp;AE$6,'Invulblad WB'!$AM:$AM)</f>
        <v>0</v>
      </c>
      <c r="AG20" s="10">
        <f>SUMIF('Invulblad NWB'!$AB$5:$AB$12,AG$5,'Invulblad NWB'!$AO$5:$AO$12)</f>
        <v>0</v>
      </c>
      <c r="AH20" s="10">
        <f>SUMIF('Invulblad NWB'!$AB$5:$AB$12,AH$5,'Invulblad NWB'!$AO$5:$AO$12)</f>
        <v>0</v>
      </c>
      <c r="AI20" s="10">
        <f>SUMIF('Invulblad NWB'!$AB$5:$AB$12,AI$5,'Invulblad NWB'!$AO$5:$AO$12)</f>
        <v>0</v>
      </c>
      <c r="AJ20" s="10">
        <f>SUMIF('Invulblad NWB'!$AB$5:$AB$12,AJ$5,'Invulblad NWB'!$AO$5:$AO$12)</f>
        <v>0</v>
      </c>
      <c r="AK20" s="10">
        <f>SUMIF('Invulblad NWB'!$AB$5:$AB$12,AK$5,'Invulblad NWB'!$AO$5:$AO$12)</f>
        <v>0</v>
      </c>
      <c r="AL20" s="10">
        <f>SUMIF('Invulblad NWB'!$AB$5:$AB$12,AL$5,'Invulblad NWB'!$BC$5:$BC$12)</f>
        <v>0</v>
      </c>
      <c r="AM20" s="10">
        <f>SUMIF('Invulblad NWB'!$AB$5:$AB$12,AM$5,'Invulblad NWB'!$BC$5:$BC$12)</f>
        <v>0</v>
      </c>
      <c r="AN20" s="10">
        <f>SUMIF('Invulblad NWB'!$AB$5:$AB$12,AN$5,'Invulblad NWB'!$BC$5:$BC$12)</f>
        <v>0</v>
      </c>
      <c r="AO20" s="10">
        <f>SUMIF('Invulblad NWB'!$AB$5:$AB$12,AO$5,'Invulblad NWB'!$BC$5:$BC$12)</f>
        <v>0</v>
      </c>
      <c r="AP20" s="10">
        <f>SUMIF('Invulblad NWB'!$AB$5:$AB$12,AP$5,'Invulblad NWB'!$BC$5:$BC$12)</f>
        <v>0</v>
      </c>
      <c r="AR20" s="10">
        <f>SUMIF('Invulblad NWB'!$D$15:$D$25,AR$6,'Invulblad NWB'!$BC$15:$BC$25)</f>
        <v>0</v>
      </c>
      <c r="AS20" s="10">
        <f>SUMIF('Invulblad NWB'!$D$15:$D$25,AS$6,'Invulblad NWB'!$BC$15:$BC$25)</f>
        <v>0</v>
      </c>
      <c r="AT20" s="10">
        <f>SUMIF('Invulblad NWB'!$D$15:$D$25,AT$6,'Invulblad NWB'!$BC$15:$BC$25)</f>
        <v>0</v>
      </c>
      <c r="AU20" s="10">
        <f>SUMIF('Invulblad NWB'!$D$15:$D$25,AU$6,'Invulblad NWB'!$BC$15:$BC$25)</f>
        <v>0</v>
      </c>
      <c r="AV20" s="10">
        <f>SUMIF('Invulblad NWB'!$D$15:$D$25,AV$6,'Invulblad NWB'!$AO$15:$AO$25)</f>
        <v>0</v>
      </c>
      <c r="AW20" s="10">
        <f>SUMIF('Invulblad NWB'!$D$15:$D$25,AW$6,'Invulblad NWB'!$AO$15:$AO$25)</f>
        <v>0</v>
      </c>
      <c r="AX20" s="10">
        <f>SUMIF('Invulblad NWB'!$D$15:$D$25,AX$6,'Invulblad NWB'!$AO$15:$AO$25)</f>
        <v>0</v>
      </c>
      <c r="AY20" s="10">
        <f>SUMIF('Invulblad NWB'!$D$15:$D$25,AY$6,'Invulblad NWB'!$AO$15:$AO$25)</f>
        <v>0</v>
      </c>
      <c r="AZ20" s="10">
        <f>SUMIF('Invulblad NWB'!$D$15:$D$25,AZ$6,'Invulblad NWB'!$CF$15:$CF$25)</f>
        <v>0</v>
      </c>
      <c r="BA20" s="10">
        <f>SUMIF('Invulblad NWB'!$D$15:$D$25,BA$6,'Invulblad NWB'!$CF$15:$CF$25)</f>
        <v>0</v>
      </c>
      <c r="BB20" s="10">
        <f>SUMIF('Invulblad NWB'!$D$15:$D$25,BB$6,'Invulblad NWB'!$CF$15:$CF$25)</f>
        <v>0</v>
      </c>
      <c r="BC20" s="10">
        <f>SUMIF('Invulblad NWB'!$D$15:$D$25,BC$6,'Invulblad NWB'!$CF$15:$CF$25)</f>
        <v>0</v>
      </c>
      <c r="BD20" s="10">
        <f>SUMIF('Invulblad NWB'!$D$15:$D$25,BD$6,'Invulblad NWB'!$BR$15:$BR$25)</f>
        <v>0</v>
      </c>
      <c r="BE20" s="10">
        <f>SUMIF('Invulblad NWB'!$D$15:$D$25,BE$6,'Invulblad NWB'!$BR$15:$BR$25)</f>
        <v>0</v>
      </c>
      <c r="BF20" s="10">
        <f>SUMIF('Invulblad NWB'!$D$15:$D$25,BF$6,'Invulblad NWB'!$BR$15:$BR$25)</f>
        <v>0</v>
      </c>
      <c r="BG20" s="10">
        <f>SUMIF('Invulblad NWB'!$D$15:$D$25,BG$6,'Invulblad NWB'!$BR$15:$BR$25)</f>
        <v>0</v>
      </c>
      <c r="BI20" s="83">
        <f t="shared" si="14"/>
        <v>0</v>
      </c>
      <c r="BK20" s="83" t="str">
        <f t="shared" si="21"/>
        <v>Rente
kosten</v>
      </c>
      <c r="BL20" s="57">
        <f>'Invulblad WB'!Q28</f>
        <v>0</v>
      </c>
      <c r="BM20" s="57">
        <f>'Invulblad WB'!Q13</f>
        <v>0</v>
      </c>
      <c r="BN20" s="57">
        <f>'Invulblad NWB'!$R$12</f>
        <v>0</v>
      </c>
      <c r="BO20" s="57">
        <f>'Invulblad NWB'!$R$25</f>
        <v>0</v>
      </c>
      <c r="BP20" s="57"/>
      <c r="BQ20" s="83">
        <f t="shared" si="22"/>
        <v>0</v>
      </c>
      <c r="BR20" s="83">
        <f t="shared" si="23"/>
        <v>0</v>
      </c>
      <c r="BS20" s="83">
        <f t="shared" si="24"/>
        <v>0</v>
      </c>
      <c r="BT20" s="83">
        <f t="shared" si="25"/>
        <v>0</v>
      </c>
    </row>
    <row r="21" spans="1:72" ht="17" thickTop="1" thickBot="1" x14ac:dyDescent="0.25">
      <c r="A21" s="132" t="s">
        <v>190</v>
      </c>
      <c r="B21" s="132"/>
      <c r="C21" s="147">
        <f>SUM(C19:C20)</f>
        <v>0</v>
      </c>
      <c r="D21" s="147">
        <f>SUM(D19:D20)</f>
        <v>0</v>
      </c>
      <c r="E21" s="147">
        <f>SUM(E19:E20)</f>
        <v>0</v>
      </c>
      <c r="F21" s="138">
        <f>IF(E21=0,0,E21/$E$23)</f>
        <v>0</v>
      </c>
      <c r="G21" s="195"/>
      <c r="H21" s="191">
        <f>SUM(H19:H20)</f>
        <v>0</v>
      </c>
      <c r="I21" s="191">
        <f>SUM(I19:I20)</f>
        <v>0</v>
      </c>
      <c r="J21" s="138">
        <f t="shared" si="26"/>
        <v>0</v>
      </c>
      <c r="L21" s="131" t="s">
        <v>48</v>
      </c>
      <c r="M21" s="131"/>
      <c r="N21" s="131">
        <f t="shared" si="20"/>
        <v>0</v>
      </c>
      <c r="P21" s="10">
        <f>SUMIF('Invulblad WB'!$AD:$AD,P$7&amp;P$5&amp;" "&amp;P$6,'Invulblad WB'!$AN:$AN)</f>
        <v>0</v>
      </c>
      <c r="Q21" s="10">
        <f>SUMIF('Invulblad WB'!$AD:$AD,Q$7&amp;Q$5&amp;" "&amp;Q$6,'Invulblad WB'!$AN:$AN)</f>
        <v>0</v>
      </c>
      <c r="R21" s="10">
        <f>SUMIF('Invulblad WB'!$AD:$AD,R$7&amp;R$5&amp;" "&amp;R$6,'Invulblad WB'!$AN:$AN)</f>
        <v>0</v>
      </c>
      <c r="S21" s="10">
        <f>SUMIF('Invulblad WB'!$AD:$AD,S$7&amp;S$5&amp;" "&amp;S$6,'Invulblad WB'!$AN:$AN)</f>
        <v>0</v>
      </c>
      <c r="T21" s="10">
        <f>SUMIF('Invulblad WB'!$AD:$AD,T$7&amp;T$5&amp;" "&amp;T$6,'Invulblad WB'!$AN:$AN)</f>
        <v>0</v>
      </c>
      <c r="U21" s="10">
        <f>SUMIF('Invulblad WB'!$AD:$AD,U$7&amp;U$5&amp;" "&amp;U$6,'Invulblad WB'!$AN:$AN)</f>
        <v>0</v>
      </c>
      <c r="V21" s="10">
        <f>SUMIF('Invulblad WB'!$AD:$AD,V$7&amp;V$5&amp;" "&amp;V$6,'Invulblad WB'!$AN:$AN)</f>
        <v>0</v>
      </c>
      <c r="W21" s="10">
        <f>SUMIF('Invulblad WB'!$AD:$AD,W$7&amp;W$5&amp;" "&amp;W$6,'Invulblad WB'!$AN:$AN)</f>
        <v>0</v>
      </c>
      <c r="X21" s="10">
        <f>SUMIF('Invulblad WB'!$AD:$AD,X$7&amp;X$5&amp;" "&amp;X$6,'Invulblad WB'!$AN:$AN)</f>
        <v>0</v>
      </c>
      <c r="Y21" s="10">
        <f>SUMIF('Invulblad WB'!$AD:$AD,Y$7&amp;Y$5&amp;" "&amp;Y$6,'Invulblad WB'!$AN:$AN)</f>
        <v>0</v>
      </c>
      <c r="Z21" s="10">
        <f>SUMIF('Invulblad WB'!$AD:$AD,Z$7&amp;Z$5&amp;" "&amp;Z$6,'Invulblad WB'!$AN:$AN)</f>
        <v>0</v>
      </c>
      <c r="AA21" s="10">
        <f>SUMIF('Invulblad WB'!$AD:$AD,AA$7&amp;AA$5&amp;" "&amp;AA$6,'Invulblad WB'!$AN:$AN)</f>
        <v>0</v>
      </c>
      <c r="AB21" s="10">
        <f>SUMIF('Invulblad WB'!$AD:$AD,AB$7&amp;AB$5&amp;" "&amp;AB$6,'Invulblad WB'!$AN:$AN)</f>
        <v>0</v>
      </c>
      <c r="AC21" s="10">
        <f>SUMIF('Invulblad WB'!$AD:$AD,AC$7&amp;AC$5&amp;" "&amp;AC$6,'Invulblad WB'!$AN:$AN)</f>
        <v>0</v>
      </c>
      <c r="AD21" s="10">
        <f>SUMIF('Invulblad WB'!$AD:$AD,AD$7&amp;AD$5&amp;" "&amp;AD$6,'Invulblad WB'!$AN:$AN)</f>
        <v>0</v>
      </c>
      <c r="AE21" s="10">
        <f>SUMIF('Invulblad WB'!$AD:$AD,AE$7&amp;AE$5&amp;" "&amp;AE$6,'Invulblad WB'!$AN:$AN)</f>
        <v>0</v>
      </c>
      <c r="AG21" s="10">
        <f>SUMIF('Invulblad NWB'!$AB$5:$AB$12,AG$5,'Invulblad NWB'!$AP$5:$AP$12)</f>
        <v>0</v>
      </c>
      <c r="AH21" s="10">
        <f>SUMIF('Invulblad NWB'!$AB$5:$AB$12,AH$5,'Invulblad NWB'!$AP$5:$AP$12)</f>
        <v>0</v>
      </c>
      <c r="AI21" s="10">
        <f>SUMIF('Invulblad NWB'!$AB$5:$AB$12,AI$5,'Invulblad NWB'!$AP$5:$AP$12)</f>
        <v>0</v>
      </c>
      <c r="AJ21" s="10">
        <f>SUMIF('Invulblad NWB'!$AB$5:$AB$12,AJ$5,'Invulblad NWB'!$AP$5:$AP$12)</f>
        <v>0</v>
      </c>
      <c r="AK21" s="10">
        <f>SUMIF('Invulblad NWB'!$AB$5:$AB$12,AK$5,'Invulblad NWB'!$AP$5:$AP$12)</f>
        <v>0</v>
      </c>
      <c r="AL21" s="10">
        <f>SUMIF('Invulblad NWB'!$AB$5:$AB$12,AL$5,'Invulblad NWB'!$BD$5:$BD$12)</f>
        <v>0</v>
      </c>
      <c r="AM21" s="10">
        <f>SUMIF('Invulblad NWB'!$AB$5:$AB$12,AM$5,'Invulblad NWB'!$BD$5:$BD$12)</f>
        <v>0</v>
      </c>
      <c r="AN21" s="10">
        <f>SUMIF('Invulblad NWB'!$AB$5:$AB$12,AN$5,'Invulblad NWB'!$BD$5:$BD$12)</f>
        <v>0</v>
      </c>
      <c r="AO21" s="10">
        <f>SUMIF('Invulblad NWB'!$AB$5:$AB$12,AO$5,'Invulblad NWB'!$BD$5:$BD$12)</f>
        <v>0</v>
      </c>
      <c r="AP21" s="10">
        <f>SUMIF('Invulblad NWB'!$AB$5:$AB$12,AP$5,'Invulblad NWB'!$BD$5:$BD$12)</f>
        <v>0</v>
      </c>
      <c r="AR21" s="10">
        <f>SUMIF('Invulblad NWB'!$D$15:$D$25,AR$6,'Invulblad NWB'!$BD$15:$BD$25)</f>
        <v>0</v>
      </c>
      <c r="AS21" s="10">
        <f>SUMIF('Invulblad NWB'!$D$15:$D$25,AS$6,'Invulblad NWB'!$BD$15:$BD$25)</f>
        <v>0</v>
      </c>
      <c r="AT21" s="10">
        <f>SUMIF('Invulblad NWB'!$D$15:$D$25,AT$6,'Invulblad NWB'!$BD$15:$BD$25)</f>
        <v>0</v>
      </c>
      <c r="AU21" s="10">
        <f>SUMIF('Invulblad NWB'!$D$15:$D$25,AU$6,'Invulblad NWB'!$BD$15:$BD$25)</f>
        <v>0</v>
      </c>
      <c r="AV21" s="10">
        <f>SUMIF('Invulblad NWB'!$D$15:$D$25,AV$6,'Invulblad NWB'!$AP$15:$AP$25)</f>
        <v>0</v>
      </c>
      <c r="AW21" s="10">
        <f>SUMIF('Invulblad NWB'!$D$15:$D$25,AW$6,'Invulblad NWB'!$AP$15:$AP$25)</f>
        <v>0</v>
      </c>
      <c r="AX21" s="10">
        <f>SUMIF('Invulblad NWB'!$D$15:$D$25,AX$6,'Invulblad NWB'!$AP$15:$AP$25)</f>
        <v>0</v>
      </c>
      <c r="AY21" s="10">
        <f>SUMIF('Invulblad NWB'!$D$15:$D$25,AY$6,'Invulblad NWB'!$AP$15:$AP$25)</f>
        <v>0</v>
      </c>
      <c r="AZ21" s="10">
        <f>SUMIF('Invulblad NWB'!$D$15:$D$25,AZ$6,'Invulblad NWB'!$CG$15:$CG$25)</f>
        <v>0</v>
      </c>
      <c r="BA21" s="10">
        <f>SUMIF('Invulblad NWB'!$D$15:$D$25,BA$6,'Invulblad NWB'!$CG$15:$CG$25)</f>
        <v>0</v>
      </c>
      <c r="BB21" s="10">
        <f>SUMIF('Invulblad NWB'!$D$15:$D$25,BB$6,'Invulblad NWB'!$CG$15:$CG$25)</f>
        <v>0</v>
      </c>
      <c r="BC21" s="10">
        <f>SUMIF('Invulblad NWB'!$D$15:$D$25,BC$6,'Invulblad NWB'!$CG$15:$CG$25)</f>
        <v>0</v>
      </c>
      <c r="BD21" s="10">
        <f>SUMIF('Invulblad NWB'!$D$15:$D$25,BD$6,'Invulblad NWB'!$BS$15:$BS$25)</f>
        <v>0</v>
      </c>
      <c r="BE21" s="10">
        <f>SUMIF('Invulblad NWB'!$D$15:$D$25,BE$6,'Invulblad NWB'!$BS$15:$BS$25)</f>
        <v>0</v>
      </c>
      <c r="BF21" s="10">
        <f>SUMIF('Invulblad NWB'!$D$15:$D$25,BF$6,'Invulblad NWB'!$BS$15:$BS$25)</f>
        <v>0</v>
      </c>
      <c r="BG21" s="10">
        <f>SUMIF('Invulblad NWB'!$D$15:$D$25,BG$6,'Invulblad NWB'!$BS$15:$BS$25)</f>
        <v>0</v>
      </c>
      <c r="BI21" s="83">
        <f t="shared" si="14"/>
        <v>0</v>
      </c>
      <c r="BK21" s="83" t="str">
        <f t="shared" si="21"/>
        <v>Algemene kosten</v>
      </c>
      <c r="BL21" s="57">
        <f>'Invulblad WB'!R28</f>
        <v>0</v>
      </c>
      <c r="BM21" s="57">
        <f>'Invulblad WB'!R13</f>
        <v>0</v>
      </c>
      <c r="BN21" s="57">
        <f>'Invulblad NWB'!$S$12</f>
        <v>0</v>
      </c>
      <c r="BO21" s="57">
        <f>'Invulblad NWB'!$S$25</f>
        <v>0</v>
      </c>
      <c r="BP21" s="57"/>
      <c r="BQ21" s="83">
        <f t="shared" si="22"/>
        <v>0</v>
      </c>
      <c r="BR21" s="83">
        <f t="shared" si="23"/>
        <v>0</v>
      </c>
      <c r="BS21" s="83">
        <f t="shared" si="24"/>
        <v>0</v>
      </c>
      <c r="BT21" s="83">
        <f t="shared" si="25"/>
        <v>0</v>
      </c>
    </row>
    <row r="22" spans="1:72" ht="17" thickTop="1" thickBot="1" x14ac:dyDescent="0.25">
      <c r="F22" s="148"/>
      <c r="G22" s="196"/>
      <c r="H22" s="184"/>
      <c r="I22" s="184"/>
      <c r="J22" s="148"/>
      <c r="L22" s="151" t="s">
        <v>191</v>
      </c>
      <c r="M22" s="151"/>
      <c r="N22" s="151">
        <f>SUM(N17:N21)</f>
        <v>0</v>
      </c>
      <c r="P22" s="151">
        <f t="shared" ref="P22:AE22" si="27">SUM(P17:P21)</f>
        <v>0</v>
      </c>
      <c r="Q22" s="151">
        <f t="shared" si="27"/>
        <v>0</v>
      </c>
      <c r="R22" s="151">
        <f t="shared" si="27"/>
        <v>0</v>
      </c>
      <c r="S22" s="151">
        <f t="shared" si="27"/>
        <v>0</v>
      </c>
      <c r="T22" s="151">
        <f t="shared" si="27"/>
        <v>0</v>
      </c>
      <c r="U22" s="151">
        <f t="shared" si="27"/>
        <v>0</v>
      </c>
      <c r="V22" s="151">
        <f t="shared" si="27"/>
        <v>0</v>
      </c>
      <c r="W22" s="151">
        <f t="shared" si="27"/>
        <v>0</v>
      </c>
      <c r="X22" s="151">
        <f t="shared" si="27"/>
        <v>0</v>
      </c>
      <c r="Y22" s="151">
        <f t="shared" si="27"/>
        <v>0</v>
      </c>
      <c r="Z22" s="151">
        <f t="shared" si="27"/>
        <v>0</v>
      </c>
      <c r="AA22" s="151">
        <f t="shared" si="27"/>
        <v>0</v>
      </c>
      <c r="AB22" s="151">
        <f t="shared" si="27"/>
        <v>0</v>
      </c>
      <c r="AC22" s="151">
        <f t="shared" si="27"/>
        <v>0</v>
      </c>
      <c r="AD22" s="151">
        <f t="shared" si="27"/>
        <v>0</v>
      </c>
      <c r="AE22" s="151">
        <f t="shared" si="27"/>
        <v>0</v>
      </c>
      <c r="AG22" s="151">
        <f t="shared" ref="AG22:AK22" si="28">SUM(AG17:AG21)</f>
        <v>0</v>
      </c>
      <c r="AH22" s="151">
        <f t="shared" si="28"/>
        <v>0</v>
      </c>
      <c r="AI22" s="151">
        <f t="shared" si="28"/>
        <v>0</v>
      </c>
      <c r="AJ22" s="151">
        <f t="shared" si="28"/>
        <v>0</v>
      </c>
      <c r="AK22" s="151">
        <f t="shared" si="28"/>
        <v>0</v>
      </c>
      <c r="AL22" s="151">
        <f t="shared" ref="AL22:AP22" si="29">SUM(AL17:AL21)</f>
        <v>0</v>
      </c>
      <c r="AM22" s="151">
        <f t="shared" si="29"/>
        <v>0</v>
      </c>
      <c r="AN22" s="151">
        <f t="shared" si="29"/>
        <v>0</v>
      </c>
      <c r="AO22" s="151">
        <f t="shared" si="29"/>
        <v>0</v>
      </c>
      <c r="AP22" s="151">
        <f t="shared" si="29"/>
        <v>0</v>
      </c>
      <c r="AR22" s="151">
        <f t="shared" ref="AR22:BG22" si="30">SUM(AR17:AR21)</f>
        <v>0</v>
      </c>
      <c r="AS22" s="151">
        <f t="shared" si="30"/>
        <v>0</v>
      </c>
      <c r="AT22" s="151">
        <f t="shared" si="30"/>
        <v>0</v>
      </c>
      <c r="AU22" s="151">
        <f t="shared" si="30"/>
        <v>0</v>
      </c>
      <c r="AV22" s="151">
        <f t="shared" si="30"/>
        <v>0</v>
      </c>
      <c r="AW22" s="151">
        <f t="shared" si="30"/>
        <v>0</v>
      </c>
      <c r="AX22" s="151">
        <f t="shared" si="30"/>
        <v>0</v>
      </c>
      <c r="AY22" s="151">
        <f t="shared" si="30"/>
        <v>0</v>
      </c>
      <c r="AZ22" s="151">
        <f t="shared" si="30"/>
        <v>0</v>
      </c>
      <c r="BA22" s="151">
        <f t="shared" si="30"/>
        <v>0</v>
      </c>
      <c r="BB22" s="151">
        <f t="shared" si="30"/>
        <v>0</v>
      </c>
      <c r="BC22" s="151">
        <f t="shared" si="30"/>
        <v>0</v>
      </c>
      <c r="BD22" s="151">
        <f t="shared" si="30"/>
        <v>0</v>
      </c>
      <c r="BE22" s="151">
        <f t="shared" si="30"/>
        <v>0</v>
      </c>
      <c r="BF22" s="151">
        <f t="shared" si="30"/>
        <v>0</v>
      </c>
      <c r="BG22" s="151">
        <f t="shared" si="30"/>
        <v>0</v>
      </c>
      <c r="BI22" s="83">
        <f t="shared" si="14"/>
        <v>0</v>
      </c>
      <c r="BK22" s="83" t="str">
        <f t="shared" si="21"/>
        <v>Totaal Stichtingskosten excl. W&amp;R</v>
      </c>
      <c r="BL22" s="57">
        <f>SUM(BL17:BL21)</f>
        <v>0</v>
      </c>
      <c r="BM22" s="57">
        <f t="shared" ref="BM22:BO22" si="31">SUM(BM17:BM21)</f>
        <v>0</v>
      </c>
      <c r="BN22" s="57">
        <f t="shared" si="31"/>
        <v>0</v>
      </c>
      <c r="BO22" s="57">
        <f t="shared" si="31"/>
        <v>0</v>
      </c>
      <c r="BP22" s="57"/>
      <c r="BQ22" s="83">
        <f t="shared" si="22"/>
        <v>0</v>
      </c>
      <c r="BR22" s="83">
        <f t="shared" si="23"/>
        <v>0</v>
      </c>
      <c r="BS22" s="83">
        <f t="shared" si="24"/>
        <v>0</v>
      </c>
      <c r="BT22" s="83">
        <f t="shared" si="25"/>
        <v>0</v>
      </c>
    </row>
    <row r="23" spans="1:72" ht="17" thickTop="1" thickBot="1" x14ac:dyDescent="0.25">
      <c r="A23" s="150" t="s">
        <v>192</v>
      </c>
      <c r="B23" s="150"/>
      <c r="C23" s="137">
        <f>C10+C17+C21</f>
        <v>0</v>
      </c>
      <c r="D23" s="137">
        <f>D10+D17+D21</f>
        <v>0</v>
      </c>
      <c r="E23" s="137">
        <f>E10+E17+E21</f>
        <v>0</v>
      </c>
      <c r="F23" s="138">
        <f>IF(E23=0,0,E23/$E$23)</f>
        <v>0</v>
      </c>
      <c r="G23" s="195"/>
      <c r="H23" s="191">
        <f>H21+H17+H10</f>
        <v>0</v>
      </c>
      <c r="I23" s="191">
        <f>I21+I17+I10</f>
        <v>0</v>
      </c>
      <c r="J23" s="138">
        <f>IF(H23=0,0,H23/I23)</f>
        <v>0</v>
      </c>
      <c r="L23" s="10"/>
      <c r="M23" s="10"/>
      <c r="N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I23" s="83">
        <f t="shared" si="14"/>
        <v>0</v>
      </c>
      <c r="BL23" s="57"/>
      <c r="BM23" s="57"/>
      <c r="BN23" s="57"/>
      <c r="BO23" s="57"/>
      <c r="BP23" s="57"/>
      <c r="BQ23" s="83">
        <f t="shared" si="22"/>
        <v>0</v>
      </c>
      <c r="BR23" s="83">
        <f t="shared" si="23"/>
        <v>0</v>
      </c>
      <c r="BS23" s="83">
        <f t="shared" si="24"/>
        <v>0</v>
      </c>
      <c r="BT23" s="83">
        <f t="shared" si="25"/>
        <v>0</v>
      </c>
    </row>
    <row r="24" spans="1:72" ht="17" thickTop="1" thickBot="1" x14ac:dyDescent="0.25">
      <c r="A24" s="150" t="s">
        <v>193</v>
      </c>
      <c r="B24" s="150"/>
      <c r="C24" s="138">
        <f>IF(C23=0,0,C23/$E$23)</f>
        <v>0</v>
      </c>
      <c r="D24" s="138">
        <f>IF(D23=0,0,D23/$E$23)</f>
        <v>0</v>
      </c>
      <c r="E24" s="138">
        <f>IF(E23=0,0,E23/$E$23)</f>
        <v>0</v>
      </c>
      <c r="F24" s="138"/>
      <c r="G24" s="195"/>
      <c r="H24" s="191"/>
      <c r="I24" s="191"/>
      <c r="J24" s="138"/>
      <c r="L24" s="151" t="s">
        <v>194</v>
      </c>
      <c r="M24" s="10"/>
      <c r="N24" s="151">
        <f>N14-N22</f>
        <v>0</v>
      </c>
      <c r="P24" s="151">
        <f t="shared" ref="P24:AE24" si="32">P14-P22</f>
        <v>0</v>
      </c>
      <c r="Q24" s="151">
        <f t="shared" si="32"/>
        <v>0</v>
      </c>
      <c r="R24" s="151">
        <f t="shared" si="32"/>
        <v>0</v>
      </c>
      <c r="S24" s="151">
        <f t="shared" si="32"/>
        <v>0</v>
      </c>
      <c r="T24" s="151">
        <f t="shared" si="32"/>
        <v>0</v>
      </c>
      <c r="U24" s="151">
        <f t="shared" si="32"/>
        <v>0</v>
      </c>
      <c r="V24" s="151">
        <f t="shared" si="32"/>
        <v>0</v>
      </c>
      <c r="W24" s="151">
        <f t="shared" si="32"/>
        <v>0</v>
      </c>
      <c r="X24" s="151">
        <f t="shared" si="32"/>
        <v>0</v>
      </c>
      <c r="Y24" s="151">
        <f t="shared" si="32"/>
        <v>0</v>
      </c>
      <c r="Z24" s="151">
        <f t="shared" si="32"/>
        <v>0</v>
      </c>
      <c r="AA24" s="151">
        <f t="shared" si="32"/>
        <v>0</v>
      </c>
      <c r="AB24" s="151">
        <f t="shared" si="32"/>
        <v>0</v>
      </c>
      <c r="AC24" s="151">
        <f t="shared" si="32"/>
        <v>0</v>
      </c>
      <c r="AD24" s="151">
        <f t="shared" si="32"/>
        <v>0</v>
      </c>
      <c r="AE24" s="151">
        <f t="shared" si="32"/>
        <v>0</v>
      </c>
      <c r="AG24" s="151">
        <f t="shared" ref="AG24:AK24" si="33">AG14-AG22</f>
        <v>0</v>
      </c>
      <c r="AH24" s="151">
        <f t="shared" si="33"/>
        <v>0</v>
      </c>
      <c r="AI24" s="151">
        <f t="shared" si="33"/>
        <v>0</v>
      </c>
      <c r="AJ24" s="151">
        <f t="shared" si="33"/>
        <v>0</v>
      </c>
      <c r="AK24" s="151">
        <f t="shared" si="33"/>
        <v>0</v>
      </c>
      <c r="AL24" s="151">
        <f t="shared" ref="AL24:AP24" si="34">AL14-AL22</f>
        <v>0</v>
      </c>
      <c r="AM24" s="151">
        <f t="shared" si="34"/>
        <v>0</v>
      </c>
      <c r="AN24" s="151">
        <f t="shared" si="34"/>
        <v>0</v>
      </c>
      <c r="AO24" s="151">
        <f t="shared" si="34"/>
        <v>0</v>
      </c>
      <c r="AP24" s="151">
        <f t="shared" si="34"/>
        <v>0</v>
      </c>
      <c r="AR24" s="151">
        <f t="shared" ref="AR24:BG24" si="35">AR14-AR22</f>
        <v>0</v>
      </c>
      <c r="AS24" s="151">
        <f t="shared" si="35"/>
        <v>0</v>
      </c>
      <c r="AT24" s="151">
        <f t="shared" si="35"/>
        <v>0</v>
      </c>
      <c r="AU24" s="151">
        <f t="shared" si="35"/>
        <v>0</v>
      </c>
      <c r="AV24" s="151">
        <f t="shared" si="35"/>
        <v>0</v>
      </c>
      <c r="AW24" s="151">
        <f t="shared" si="35"/>
        <v>0</v>
      </c>
      <c r="AX24" s="151">
        <f t="shared" si="35"/>
        <v>0</v>
      </c>
      <c r="AY24" s="151">
        <f t="shared" si="35"/>
        <v>0</v>
      </c>
      <c r="AZ24" s="151">
        <f t="shared" si="35"/>
        <v>0</v>
      </c>
      <c r="BA24" s="151">
        <f t="shared" si="35"/>
        <v>0</v>
      </c>
      <c r="BB24" s="151">
        <f t="shared" si="35"/>
        <v>0</v>
      </c>
      <c r="BC24" s="151">
        <f t="shared" si="35"/>
        <v>0</v>
      </c>
      <c r="BD24" s="151">
        <f t="shared" si="35"/>
        <v>0</v>
      </c>
      <c r="BE24" s="151">
        <f t="shared" si="35"/>
        <v>0</v>
      </c>
      <c r="BF24" s="151">
        <f t="shared" si="35"/>
        <v>0</v>
      </c>
      <c r="BG24" s="151">
        <f t="shared" si="35"/>
        <v>0</v>
      </c>
      <c r="BI24" s="83">
        <f t="shared" si="14"/>
        <v>0</v>
      </c>
      <c r="BL24" s="57"/>
      <c r="BM24" s="57"/>
      <c r="BN24" s="57"/>
      <c r="BO24" s="57"/>
      <c r="BP24" s="57"/>
    </row>
    <row r="25" spans="1:72" ht="17" thickTop="1" thickBot="1" x14ac:dyDescent="0.25">
      <c r="A25" s="150" t="s">
        <v>195</v>
      </c>
      <c r="B25" s="150"/>
      <c r="C25" s="138">
        <f>IF(C23=0,0,(C10+C17)/C23)</f>
        <v>0</v>
      </c>
      <c r="D25" s="138">
        <f>IF(D23=0,0,(D10+D17)/D23)</f>
        <v>0</v>
      </c>
      <c r="E25" s="138">
        <f>IF(E23=0,0,(E10+E17)/E23)</f>
        <v>0</v>
      </c>
      <c r="F25" s="138"/>
      <c r="G25" s="195"/>
      <c r="H25" s="191"/>
      <c r="I25" s="191"/>
      <c r="J25" s="138"/>
      <c r="L25" s="151"/>
      <c r="M25" s="10"/>
      <c r="N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I25" s="83">
        <f t="shared" si="14"/>
        <v>0</v>
      </c>
      <c r="BL25" s="57"/>
      <c r="BM25" s="57"/>
      <c r="BN25" s="57"/>
      <c r="BO25" s="57"/>
      <c r="BP25" s="57"/>
    </row>
    <row r="26" spans="1:72" ht="16" thickTop="1" x14ac:dyDescent="0.2">
      <c r="L26" s="152" t="s">
        <v>196</v>
      </c>
      <c r="M26" s="152"/>
      <c r="N26" s="153">
        <f>N24-(BL32+BM32+BN32+BO32)</f>
        <v>0</v>
      </c>
      <c r="P26" s="153">
        <f t="shared" ref="P26:AE26" si="36">P24-P2</f>
        <v>0</v>
      </c>
      <c r="Q26" s="153">
        <f t="shared" si="36"/>
        <v>0</v>
      </c>
      <c r="R26" s="153">
        <f t="shared" si="36"/>
        <v>0</v>
      </c>
      <c r="S26" s="153">
        <f t="shared" si="36"/>
        <v>0</v>
      </c>
      <c r="T26" s="153">
        <f t="shared" si="36"/>
        <v>0</v>
      </c>
      <c r="U26" s="153">
        <f t="shared" si="36"/>
        <v>0</v>
      </c>
      <c r="V26" s="153">
        <f t="shared" si="36"/>
        <v>0</v>
      </c>
      <c r="W26" s="153">
        <f t="shared" si="36"/>
        <v>0</v>
      </c>
      <c r="X26" s="153">
        <f t="shared" si="36"/>
        <v>0</v>
      </c>
      <c r="Y26" s="153">
        <f t="shared" si="36"/>
        <v>0</v>
      </c>
      <c r="Z26" s="153">
        <f t="shared" si="36"/>
        <v>0</v>
      </c>
      <c r="AA26" s="153">
        <f t="shared" si="36"/>
        <v>0</v>
      </c>
      <c r="AB26" s="153">
        <f t="shared" si="36"/>
        <v>0</v>
      </c>
      <c r="AC26" s="153">
        <f t="shared" si="36"/>
        <v>0</v>
      </c>
      <c r="AD26" s="153">
        <f t="shared" si="36"/>
        <v>0</v>
      </c>
      <c r="AE26" s="153">
        <f t="shared" si="36"/>
        <v>0</v>
      </c>
      <c r="AG26" s="153">
        <f t="shared" ref="AG26:AP26" si="37">AG24-AG2</f>
        <v>0</v>
      </c>
      <c r="AH26" s="153">
        <f t="shared" si="37"/>
        <v>0</v>
      </c>
      <c r="AI26" s="153">
        <f t="shared" si="37"/>
        <v>0</v>
      </c>
      <c r="AJ26" s="153">
        <f t="shared" si="37"/>
        <v>0</v>
      </c>
      <c r="AK26" s="153">
        <f t="shared" si="37"/>
        <v>0</v>
      </c>
      <c r="AL26" s="153">
        <f t="shared" si="37"/>
        <v>0</v>
      </c>
      <c r="AM26" s="153">
        <f t="shared" si="37"/>
        <v>0</v>
      </c>
      <c r="AN26" s="153">
        <f t="shared" si="37"/>
        <v>0</v>
      </c>
      <c r="AO26" s="153">
        <f t="shared" si="37"/>
        <v>0</v>
      </c>
      <c r="AP26" s="153">
        <f t="shared" si="37"/>
        <v>0</v>
      </c>
      <c r="AR26" s="153">
        <f t="shared" ref="AR26:BG26" si="38">AR24-AR2</f>
        <v>0</v>
      </c>
      <c r="AS26" s="153">
        <f t="shared" si="38"/>
        <v>0</v>
      </c>
      <c r="AT26" s="153">
        <f t="shared" si="38"/>
        <v>0</v>
      </c>
      <c r="AU26" s="153">
        <f t="shared" si="38"/>
        <v>0</v>
      </c>
      <c r="AV26" s="153">
        <f t="shared" si="38"/>
        <v>0</v>
      </c>
      <c r="AW26" s="153">
        <f t="shared" si="38"/>
        <v>0</v>
      </c>
      <c r="AX26" s="153">
        <f t="shared" si="38"/>
        <v>0</v>
      </c>
      <c r="AY26" s="153">
        <f t="shared" si="38"/>
        <v>0</v>
      </c>
      <c r="AZ26" s="153">
        <f t="shared" si="38"/>
        <v>0</v>
      </c>
      <c r="BA26" s="153">
        <f t="shared" si="38"/>
        <v>0</v>
      </c>
      <c r="BB26" s="153">
        <f t="shared" si="38"/>
        <v>0</v>
      </c>
      <c r="BC26" s="153">
        <f t="shared" si="38"/>
        <v>0</v>
      </c>
      <c r="BD26" s="153">
        <f t="shared" si="38"/>
        <v>0</v>
      </c>
      <c r="BE26" s="153">
        <f t="shared" si="38"/>
        <v>0</v>
      </c>
      <c r="BF26" s="153">
        <f t="shared" si="38"/>
        <v>0</v>
      </c>
      <c r="BG26" s="153">
        <f t="shared" si="38"/>
        <v>0</v>
      </c>
      <c r="BI26" s="83">
        <f t="shared" si="14"/>
        <v>0</v>
      </c>
      <c r="BL26" s="57"/>
      <c r="BM26" s="57"/>
      <c r="BN26" s="57"/>
      <c r="BO26" s="57"/>
      <c r="BP26" s="57"/>
    </row>
    <row r="27" spans="1:72" x14ac:dyDescent="0.2">
      <c r="A27" s="135" t="s">
        <v>197</v>
      </c>
      <c r="L27" s="10"/>
      <c r="M27" s="10"/>
      <c r="N27" s="10"/>
      <c r="BI27" s="83"/>
      <c r="BL27" s="57"/>
      <c r="BM27" s="57"/>
      <c r="BN27" s="57"/>
      <c r="BO27" s="57"/>
      <c r="BP27" s="57"/>
    </row>
    <row r="28" spans="1:72" x14ac:dyDescent="0.2">
      <c r="A28" s="8" t="s">
        <v>51</v>
      </c>
      <c r="B28" s="7"/>
      <c r="C28" s="8"/>
      <c r="D28" s="8"/>
      <c r="E28" s="8"/>
      <c r="F28" s="8"/>
      <c r="G28" s="193"/>
      <c r="H28" s="8" t="s">
        <v>198</v>
      </c>
      <c r="I28" s="8" t="s">
        <v>171</v>
      </c>
      <c r="J28" s="8" t="s">
        <v>56</v>
      </c>
      <c r="L28" s="8" t="s">
        <v>199</v>
      </c>
      <c r="M28" s="8"/>
      <c r="N28" s="8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I28" s="83"/>
      <c r="BL28" s="57"/>
      <c r="BM28" s="57"/>
    </row>
    <row r="29" spans="1:72" x14ac:dyDescent="0.2">
      <c r="A29" s="13" t="s">
        <v>157</v>
      </c>
      <c r="B29" s="13"/>
      <c r="C29" s="93"/>
      <c r="D29" s="93"/>
      <c r="E29" s="93"/>
      <c r="F29" s="142"/>
      <c r="G29" s="196"/>
      <c r="H29" s="190">
        <f>SUMIF('Invulblad NWB'!$C:$C,$A29,'Invulblad NWB'!$G:$G)</f>
        <v>0</v>
      </c>
      <c r="I29" s="190">
        <f>SUMIF('Invulblad NWB'!$C:$C,$A29,'Invulblad NWB'!$E:$E)</f>
        <v>0</v>
      </c>
      <c r="J29" s="142">
        <f t="shared" ref="J29:J34" si="39">IF(H29=0,0,H29/I29)</f>
        <v>0</v>
      </c>
      <c r="L29" s="10" t="s">
        <v>200</v>
      </c>
      <c r="M29" s="10"/>
      <c r="N29" s="10">
        <f>SUMIF('Invulblad grex'!$F$5:$F$20,$L29,'Invulblad grex'!$E$5:$E$20)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I29" s="83"/>
      <c r="BL29" s="57"/>
      <c r="BM29" s="57"/>
    </row>
    <row r="30" spans="1:72" x14ac:dyDescent="0.2">
      <c r="A30" s="13" t="s">
        <v>158</v>
      </c>
      <c r="B30" s="13"/>
      <c r="C30" s="93"/>
      <c r="D30" s="93"/>
      <c r="E30" s="93"/>
      <c r="F30" s="142"/>
      <c r="G30" s="196"/>
      <c r="H30" s="190">
        <f>SUMIF('Invulblad NWB'!$C:$C,$A30,'Invulblad NWB'!$G:$G)</f>
        <v>0</v>
      </c>
      <c r="I30" s="190">
        <f>SUMIF('Invulblad NWB'!$C:$C,$A30,'Invulblad NWB'!$E:$E)</f>
        <v>0</v>
      </c>
      <c r="J30" s="142">
        <f t="shared" si="39"/>
        <v>0</v>
      </c>
      <c r="L30" s="10" t="s">
        <v>201</v>
      </c>
      <c r="M30" s="10"/>
      <c r="N30" s="10">
        <f>SUMIF('Invulblad grex'!$F$5:$F$20,$L30,'Invulblad grex'!$E$5:$E$20)</f>
        <v>0</v>
      </c>
      <c r="BI30" s="83"/>
      <c r="BP30" s="57"/>
    </row>
    <row r="31" spans="1:72" x14ac:dyDescent="0.2">
      <c r="A31" s="13" t="s">
        <v>159</v>
      </c>
      <c r="B31" s="13"/>
      <c r="C31" s="93"/>
      <c r="D31" s="93"/>
      <c r="E31" s="93"/>
      <c r="F31" s="142"/>
      <c r="G31" s="196"/>
      <c r="H31" s="190">
        <f>SUMIF('Invulblad NWB'!$C:$C,$A31,'Invulblad NWB'!$G:$G)</f>
        <v>0</v>
      </c>
      <c r="I31" s="190">
        <f>SUMIF('Invulblad NWB'!$C:$C,$A31,'Invulblad NWB'!$E:$E)</f>
        <v>0</v>
      </c>
      <c r="J31" s="142">
        <f t="shared" si="39"/>
        <v>0</v>
      </c>
      <c r="L31" s="10" t="s">
        <v>202</v>
      </c>
      <c r="M31" s="10"/>
      <c r="N31" s="10">
        <f>SUMIF('Invulblad grex'!$F$5:$F$20,$L31,'Invulblad grex'!$E$5:$E$20)</f>
        <v>0</v>
      </c>
      <c r="BI31" s="83"/>
      <c r="BL31" s="57"/>
      <c r="BM31" s="57"/>
    </row>
    <row r="32" spans="1:72" ht="16" thickBot="1" x14ac:dyDescent="0.25">
      <c r="A32" s="13" t="s">
        <v>160</v>
      </c>
      <c r="B32" s="13"/>
      <c r="C32" s="93"/>
      <c r="D32" s="93"/>
      <c r="E32" s="93"/>
      <c r="F32" s="142"/>
      <c r="G32" s="196"/>
      <c r="H32" s="190">
        <f>SUMIF('Invulblad NWB'!$C:$C,$A32,'Invulblad NWB'!$G:$G)</f>
        <v>0</v>
      </c>
      <c r="I32" s="190">
        <f>SUMIF('Invulblad NWB'!$C:$C,$A32,'Invulblad NWB'!$E:$E)</f>
        <v>0</v>
      </c>
      <c r="J32" s="142">
        <f t="shared" si="39"/>
        <v>0</v>
      </c>
      <c r="L32" s="131" t="s">
        <v>203</v>
      </c>
      <c r="M32" s="131"/>
      <c r="N32" s="10">
        <f>SUMIF('Invulblad grex'!$F$5:$F$20,$L32,'Invulblad grex'!$E$5:$E$20)</f>
        <v>0</v>
      </c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I32" s="83"/>
      <c r="BL32" s="154">
        <f>'Invulblad WB'!$S$28</f>
        <v>0</v>
      </c>
      <c r="BM32" s="154">
        <f>'Invulblad WB'!$S$13</f>
        <v>0</v>
      </c>
      <c r="BN32" s="154">
        <f>'Invulblad NWB'!$T$12</f>
        <v>0</v>
      </c>
      <c r="BO32" s="154">
        <f>'Invulblad NWB'!$T$25</f>
        <v>0</v>
      </c>
    </row>
    <row r="33" spans="1:65" ht="16" thickBot="1" x14ac:dyDescent="0.25">
      <c r="A33" s="13" t="s">
        <v>161</v>
      </c>
      <c r="B33" s="13"/>
      <c r="C33" s="93"/>
      <c r="D33" s="93"/>
      <c r="E33" s="93"/>
      <c r="F33" s="142"/>
      <c r="G33" s="196"/>
      <c r="H33" s="190">
        <f>SUMIF('Invulblad NWB'!$C:$C,$A33,'Invulblad NWB'!$G:$G)</f>
        <v>0</v>
      </c>
      <c r="I33" s="190">
        <f>SUMIF('Invulblad NWB'!$C:$C,$A33,'Invulblad NWB'!$E:$E)</f>
        <v>0</v>
      </c>
      <c r="J33" s="142">
        <f t="shared" si="39"/>
        <v>0</v>
      </c>
      <c r="L33" s="151" t="s">
        <v>204</v>
      </c>
      <c r="M33" s="151"/>
      <c r="N33" s="151">
        <f>SUM(N28:N32)</f>
        <v>0</v>
      </c>
      <c r="BI33" s="83"/>
      <c r="BL33" s="57"/>
      <c r="BM33" s="57"/>
    </row>
    <row r="34" spans="1:65" ht="17" thickTop="1" thickBot="1" x14ac:dyDescent="0.25">
      <c r="A34" s="132" t="s">
        <v>205</v>
      </c>
      <c r="B34" s="132"/>
      <c r="C34" s="147"/>
      <c r="D34" s="147"/>
      <c r="E34" s="147"/>
      <c r="F34" s="138"/>
      <c r="G34" s="195"/>
      <c r="H34" s="191">
        <f>SUM(H29:H33)</f>
        <v>0</v>
      </c>
      <c r="I34" s="191">
        <f>SUM(I29:I33)</f>
        <v>0</v>
      </c>
      <c r="J34" s="138">
        <f t="shared" si="39"/>
        <v>0</v>
      </c>
      <c r="L34" s="10"/>
      <c r="M34" s="10"/>
      <c r="N34" s="10"/>
      <c r="BI34" s="83"/>
    </row>
    <row r="35" spans="1:65" ht="16" thickTop="1" x14ac:dyDescent="0.2">
      <c r="L35" s="151" t="s">
        <v>206</v>
      </c>
      <c r="M35" s="151"/>
      <c r="N35" s="151">
        <f>N24-N33</f>
        <v>0</v>
      </c>
      <c r="BI35" s="83"/>
      <c r="BL35" s="2" t="s">
        <v>207</v>
      </c>
    </row>
    <row r="36" spans="1:65" x14ac:dyDescent="0.2">
      <c r="L36" s="151"/>
      <c r="M36" s="151"/>
      <c r="N36" s="151"/>
      <c r="BI36" s="83"/>
    </row>
    <row r="37" spans="1:65" x14ac:dyDescent="0.2">
      <c r="L37" s="8" t="s">
        <v>208</v>
      </c>
      <c r="M37" s="8"/>
      <c r="N37" s="303">
        <f>SUMIF('Invulblad grex'!$F$5:$F$20,"Aankoopkosten",'Invulblad grex'!$E$5:$E$20)</f>
        <v>0</v>
      </c>
      <c r="BI37" s="83"/>
    </row>
    <row r="38" spans="1:65" ht="16" thickBot="1" x14ac:dyDescent="0.25">
      <c r="L38" s="151"/>
      <c r="M38" s="151"/>
      <c r="N38" s="151"/>
      <c r="BI38" s="83"/>
    </row>
    <row r="39" spans="1:65" ht="16" thickBot="1" x14ac:dyDescent="0.25">
      <c r="L39" s="132" t="s">
        <v>209</v>
      </c>
      <c r="M39" s="143"/>
      <c r="N39" s="143">
        <f>N22+N33+N37</f>
        <v>0</v>
      </c>
      <c r="BI39" s="83"/>
    </row>
    <row r="40" spans="1:65" ht="16" thickTop="1" x14ac:dyDescent="0.2">
      <c r="BI40" s="83"/>
    </row>
    <row r="41" spans="1:65" x14ac:dyDescent="0.2">
      <c r="L41" s="8" t="s">
        <v>210</v>
      </c>
      <c r="M41" s="8" t="s">
        <v>173</v>
      </c>
      <c r="N41" s="8" t="s">
        <v>174</v>
      </c>
      <c r="BI41" s="83"/>
    </row>
    <row r="42" spans="1:65" x14ac:dyDescent="0.2">
      <c r="L42" s="134" t="s">
        <v>211</v>
      </c>
      <c r="M42" s="134"/>
      <c r="N42" s="134">
        <f>N14-N39</f>
        <v>0</v>
      </c>
      <c r="BI42" s="83"/>
    </row>
    <row r="43" spans="1:65" x14ac:dyDescent="0.2">
      <c r="L43" s="13" t="s">
        <v>212</v>
      </c>
      <c r="M43" s="13"/>
      <c r="N43" s="12">
        <f>IF(N14=0,0,N42/N14)</f>
        <v>0</v>
      </c>
      <c r="BI43" s="83"/>
    </row>
    <row r="44" spans="1:65" x14ac:dyDescent="0.2">
      <c r="L44" s="13" t="s">
        <v>213</v>
      </c>
      <c r="M44" s="13"/>
      <c r="N44" s="12">
        <f>IF(N39=0,0,N42/N39)</f>
        <v>0</v>
      </c>
      <c r="BI44" s="83"/>
    </row>
    <row r="45" spans="1:65" x14ac:dyDescent="0.2">
      <c r="BI45" s="83"/>
    </row>
    <row r="49" spans="64:64" x14ac:dyDescent="0.2">
      <c r="BL49" s="83"/>
    </row>
  </sheetData>
  <sheetProtection formatColumns="0" formatRows="0"/>
  <pageMargins left="0.7" right="0.7" top="0.75" bottom="0.75" header="0.3" footer="0.3"/>
  <pageSetup paperSize="9" scale="1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FB5F-46F4-4928-9F01-6F58D12002F2}">
  <sheetPr codeName="Blad3">
    <tabColor rgb="FFFFFF00"/>
    <pageSetUpPr fitToPage="1"/>
  </sheetPr>
  <dimension ref="A1:GO100"/>
  <sheetViews>
    <sheetView topLeftCell="A66" workbookViewId="0">
      <selection activeCell="A81" sqref="A81"/>
    </sheetView>
  </sheetViews>
  <sheetFormatPr baseColWidth="10" defaultColWidth="9.1640625" defaultRowHeight="15" x14ac:dyDescent="0.2"/>
  <cols>
    <col min="1" max="1" width="44.5" style="3" bestFit="1" customWidth="1"/>
    <col min="2" max="2" width="13.5" style="97" bestFit="1" customWidth="1"/>
    <col min="3" max="4" width="9.5" style="2" bestFit="1" customWidth="1"/>
    <col min="5" max="5" width="7.5" style="2" customWidth="1"/>
    <col min="6" max="7" width="14.83203125" style="2" bestFit="1" customWidth="1"/>
    <col min="8" max="10" width="18.5" style="2" bestFit="1" customWidth="1"/>
    <col min="11" max="11" width="9.1640625" style="15"/>
    <col min="12" max="12" width="0" style="15" hidden="1" customWidth="1"/>
    <col min="13" max="24" width="9.1640625" style="55"/>
    <col min="25" max="16384" width="9.1640625" style="2"/>
  </cols>
  <sheetData>
    <row r="1" spans="1:197" ht="28.5" customHeight="1" x14ac:dyDescent="0.3">
      <c r="A1" s="15"/>
      <c r="B1" s="55"/>
      <c r="C1" s="37" t="s">
        <v>19</v>
      </c>
      <c r="D1" s="55"/>
      <c r="E1" s="55"/>
      <c r="F1" s="55"/>
      <c r="G1" s="84"/>
      <c r="H1" s="84"/>
      <c r="I1" s="84"/>
      <c r="J1" s="84"/>
    </row>
    <row r="2" spans="1:197" ht="19" x14ac:dyDescent="0.2">
      <c r="A2" s="15"/>
      <c r="B2" s="55"/>
      <c r="C2" s="38" t="s">
        <v>214</v>
      </c>
      <c r="D2" s="55"/>
      <c r="E2" s="55"/>
      <c r="F2" s="55"/>
      <c r="G2" s="84"/>
      <c r="H2" s="84"/>
      <c r="I2" s="84"/>
      <c r="J2" s="84"/>
    </row>
    <row r="3" spans="1:197" ht="19" x14ac:dyDescent="0.2">
      <c r="A3" s="15"/>
      <c r="B3" s="55"/>
      <c r="C3" s="102"/>
      <c r="D3" s="55"/>
      <c r="E3" s="55"/>
      <c r="F3" s="55"/>
      <c r="G3" s="84"/>
      <c r="H3" s="84"/>
      <c r="I3" s="84"/>
      <c r="J3" s="84"/>
    </row>
    <row r="4" spans="1:197" x14ac:dyDescent="0.2">
      <c r="A4" s="19" t="s">
        <v>215</v>
      </c>
      <c r="B4" s="5" t="s">
        <v>79</v>
      </c>
      <c r="C4" s="6" t="s">
        <v>79</v>
      </c>
      <c r="D4" s="6" t="s">
        <v>79</v>
      </c>
      <c r="E4" s="6"/>
      <c r="F4" s="6" t="s">
        <v>79</v>
      </c>
      <c r="G4" s="6" t="s">
        <v>79</v>
      </c>
      <c r="H4" s="6" t="s">
        <v>79</v>
      </c>
      <c r="I4" s="6" t="s">
        <v>79</v>
      </c>
      <c r="J4" s="6" t="s">
        <v>216</v>
      </c>
    </row>
    <row r="5" spans="1:197" x14ac:dyDescent="0.2">
      <c r="A5" s="19"/>
      <c r="B5" s="5" t="s">
        <v>111</v>
      </c>
      <c r="C5" s="6" t="s">
        <v>217</v>
      </c>
      <c r="D5" s="6" t="s">
        <v>112</v>
      </c>
      <c r="E5" s="6"/>
      <c r="F5" s="6" t="s">
        <v>122</v>
      </c>
      <c r="G5" s="6" t="s">
        <v>122</v>
      </c>
      <c r="H5" s="6" t="s">
        <v>218</v>
      </c>
      <c r="I5" s="6" t="s">
        <v>121</v>
      </c>
      <c r="J5" s="6" t="s">
        <v>219</v>
      </c>
    </row>
    <row r="6" spans="1:197" x14ac:dyDescent="0.2">
      <c r="A6" s="20"/>
      <c r="B6" s="7"/>
      <c r="C6" s="8"/>
      <c r="D6" s="8"/>
      <c r="E6" s="8"/>
      <c r="F6" s="8" t="s">
        <v>75</v>
      </c>
      <c r="G6" s="8" t="s">
        <v>220</v>
      </c>
      <c r="H6" s="8"/>
      <c r="I6" s="6" t="s">
        <v>220</v>
      </c>
      <c r="J6" s="6" t="s">
        <v>220</v>
      </c>
    </row>
    <row r="7" spans="1:197" s="91" customFormat="1" x14ac:dyDescent="0.2">
      <c r="A7" s="39" t="s">
        <v>221</v>
      </c>
      <c r="B7" s="103">
        <f>B22</f>
        <v>0</v>
      </c>
      <c r="C7" s="103">
        <f t="shared" ref="C7:I7" si="0">C22</f>
        <v>0</v>
      </c>
      <c r="D7" s="103">
        <f t="shared" si="0"/>
        <v>0</v>
      </c>
      <c r="E7" s="103"/>
      <c r="F7" s="183">
        <f t="shared" si="0"/>
        <v>0</v>
      </c>
      <c r="G7" s="183">
        <f t="shared" si="0"/>
        <v>0</v>
      </c>
      <c r="H7" s="183">
        <f t="shared" si="0"/>
        <v>0</v>
      </c>
      <c r="I7" s="183">
        <f t="shared" si="0"/>
        <v>0</v>
      </c>
      <c r="J7" s="183">
        <f>IF(D7=0,0,I7/D7)</f>
        <v>0</v>
      </c>
      <c r="K7" s="35"/>
      <c r="L7" s="35"/>
    </row>
    <row r="8" spans="1:197" s="91" customFormat="1" x14ac:dyDescent="0.2">
      <c r="A8" s="40" t="s">
        <v>222</v>
      </c>
      <c r="B8" s="104">
        <f>B33</f>
        <v>0</v>
      </c>
      <c r="C8" s="104">
        <f t="shared" ref="C8:I8" si="1">C33</f>
        <v>0</v>
      </c>
      <c r="D8" s="104">
        <f t="shared" si="1"/>
        <v>0</v>
      </c>
      <c r="E8" s="104"/>
      <c r="F8" s="112">
        <f t="shared" si="1"/>
        <v>0</v>
      </c>
      <c r="G8" s="112">
        <f t="shared" si="1"/>
        <v>0</v>
      </c>
      <c r="H8" s="112">
        <f t="shared" si="1"/>
        <v>0</v>
      </c>
      <c r="I8" s="112">
        <f t="shared" si="1"/>
        <v>0</v>
      </c>
      <c r="J8" s="112">
        <f t="shared" ref="J8:J13" si="2">IF(D8=0,0,I8/D8)</f>
        <v>0</v>
      </c>
      <c r="K8" s="35"/>
      <c r="L8" s="35"/>
    </row>
    <row r="9" spans="1:197" s="91" customFormat="1" x14ac:dyDescent="0.2">
      <c r="A9" s="40" t="s">
        <v>223</v>
      </c>
      <c r="B9" s="104">
        <f>B42</f>
        <v>0</v>
      </c>
      <c r="C9" s="104">
        <f t="shared" ref="C9:I9" si="3">C42</f>
        <v>0</v>
      </c>
      <c r="D9" s="104">
        <f t="shared" si="3"/>
        <v>0</v>
      </c>
      <c r="E9" s="104"/>
      <c r="F9" s="112">
        <f t="shared" si="3"/>
        <v>0</v>
      </c>
      <c r="G9" s="112">
        <f t="shared" si="3"/>
        <v>0</v>
      </c>
      <c r="H9" s="112">
        <f t="shared" si="3"/>
        <v>0</v>
      </c>
      <c r="I9" s="112">
        <f t="shared" si="3"/>
        <v>0</v>
      </c>
      <c r="J9" s="112">
        <f t="shared" si="2"/>
        <v>0</v>
      </c>
      <c r="K9" s="35"/>
      <c r="L9" s="35"/>
    </row>
    <row r="10" spans="1:197" s="91" customFormat="1" x14ac:dyDescent="0.2">
      <c r="A10" s="39" t="s">
        <v>224</v>
      </c>
      <c r="B10" s="103">
        <f>B53</f>
        <v>0</v>
      </c>
      <c r="C10" s="103">
        <f t="shared" ref="C10:I10" si="4">C53</f>
        <v>0</v>
      </c>
      <c r="D10" s="103">
        <f t="shared" si="4"/>
        <v>0</v>
      </c>
      <c r="E10" s="103"/>
      <c r="F10" s="183">
        <f t="shared" si="4"/>
        <v>0</v>
      </c>
      <c r="G10" s="183">
        <f t="shared" si="4"/>
        <v>0</v>
      </c>
      <c r="H10" s="183">
        <f t="shared" si="4"/>
        <v>0</v>
      </c>
      <c r="I10" s="183">
        <f t="shared" si="4"/>
        <v>0</v>
      </c>
      <c r="J10" s="183">
        <f t="shared" si="2"/>
        <v>0</v>
      </c>
      <c r="K10" s="35"/>
      <c r="L10" s="35"/>
    </row>
    <row r="11" spans="1:197" s="91" customFormat="1" x14ac:dyDescent="0.2">
      <c r="A11" s="40" t="s">
        <v>89</v>
      </c>
      <c r="B11" s="104"/>
      <c r="C11" s="104">
        <f t="shared" ref="C11:I11" si="5">C64</f>
        <v>0</v>
      </c>
      <c r="D11" s="104">
        <f t="shared" si="5"/>
        <v>0</v>
      </c>
      <c r="E11" s="104"/>
      <c r="F11" s="112">
        <f t="shared" si="5"/>
        <v>0</v>
      </c>
      <c r="G11" s="112">
        <f t="shared" si="5"/>
        <v>0</v>
      </c>
      <c r="H11" s="112">
        <f t="shared" si="5"/>
        <v>0</v>
      </c>
      <c r="I11" s="112">
        <f t="shared" si="5"/>
        <v>0</v>
      </c>
      <c r="J11" s="112">
        <f t="shared" si="2"/>
        <v>0</v>
      </c>
      <c r="K11" s="35"/>
      <c r="L11" s="35"/>
    </row>
    <row r="12" spans="1:197" s="91" customFormat="1" x14ac:dyDescent="0.2">
      <c r="A12" s="40" t="s">
        <v>125</v>
      </c>
      <c r="B12" s="104">
        <f>B73</f>
        <v>0</v>
      </c>
      <c r="C12" s="104">
        <f t="shared" ref="C12:I12" si="6">C73</f>
        <v>0</v>
      </c>
      <c r="D12" s="104">
        <f t="shared" si="6"/>
        <v>0</v>
      </c>
      <c r="E12" s="104"/>
      <c r="F12" s="112">
        <f t="shared" si="6"/>
        <v>0</v>
      </c>
      <c r="G12" s="112">
        <f t="shared" si="6"/>
        <v>0</v>
      </c>
      <c r="H12" s="112">
        <f t="shared" si="6"/>
        <v>0</v>
      </c>
      <c r="I12" s="112">
        <f t="shared" si="6"/>
        <v>0</v>
      </c>
      <c r="J12" s="112">
        <f t="shared" si="2"/>
        <v>0</v>
      </c>
      <c r="K12" s="35"/>
      <c r="L12" s="35"/>
    </row>
    <row r="13" spans="1:197" s="91" customFormat="1" ht="16" thickBot="1" x14ac:dyDescent="0.25">
      <c r="A13" s="41" t="s">
        <v>126</v>
      </c>
      <c r="B13" s="105">
        <f>B82</f>
        <v>0</v>
      </c>
      <c r="C13" s="105">
        <f t="shared" ref="C13:I13" si="7">C82</f>
        <v>0</v>
      </c>
      <c r="D13" s="105">
        <f t="shared" si="7"/>
        <v>0</v>
      </c>
      <c r="E13" s="105"/>
      <c r="F13" s="317">
        <f t="shared" si="7"/>
        <v>0</v>
      </c>
      <c r="G13" s="317">
        <f t="shared" si="7"/>
        <v>0</v>
      </c>
      <c r="H13" s="317">
        <f t="shared" si="7"/>
        <v>0</v>
      </c>
      <c r="I13" s="317">
        <f t="shared" si="7"/>
        <v>0</v>
      </c>
      <c r="J13" s="317">
        <f t="shared" si="2"/>
        <v>0</v>
      </c>
      <c r="K13" s="35"/>
      <c r="L13" s="35"/>
    </row>
    <row r="14" spans="1:197" s="55" customFormat="1" ht="17" thickTop="1" thickBot="1" x14ac:dyDescent="0.25">
      <c r="A14" s="42" t="s">
        <v>225</v>
      </c>
      <c r="B14" s="106">
        <f>SUM(B7:B13)</f>
        <v>0</v>
      </c>
      <c r="C14" s="106">
        <f t="shared" ref="C14:I14" si="8">SUM(C7:C13)</f>
        <v>0</v>
      </c>
      <c r="D14" s="106">
        <f t="shared" si="8"/>
        <v>0</v>
      </c>
      <c r="E14" s="106"/>
      <c r="F14" s="107">
        <f t="shared" si="8"/>
        <v>0</v>
      </c>
      <c r="G14" s="107">
        <f t="shared" si="8"/>
        <v>0</v>
      </c>
      <c r="H14" s="107">
        <f t="shared" si="8"/>
        <v>0</v>
      </c>
      <c r="I14" s="107">
        <f t="shared" si="8"/>
        <v>0</v>
      </c>
      <c r="J14" s="107">
        <f>IF(D14=0,0,I14/D14)</f>
        <v>0</v>
      </c>
      <c r="K14" s="34"/>
      <c r="L14" s="34"/>
      <c r="M14" s="87"/>
      <c r="O14" s="108"/>
      <c r="P14" s="108"/>
      <c r="Q14" s="108"/>
      <c r="R14" s="108"/>
      <c r="T14" s="87"/>
      <c r="U14" s="87"/>
      <c r="V14" s="87"/>
      <c r="X14" s="108"/>
      <c r="Y14" s="87"/>
      <c r="Z14" s="87"/>
      <c r="AB14" s="108"/>
      <c r="AC14" s="108"/>
      <c r="AD14" s="108"/>
      <c r="AE14" s="108"/>
      <c r="AG14" s="87"/>
      <c r="AH14" s="87"/>
      <c r="AI14" s="87"/>
      <c r="AK14" s="108"/>
      <c r="AL14" s="108"/>
      <c r="AM14" s="108"/>
      <c r="AN14" s="108"/>
      <c r="AP14" s="87"/>
      <c r="AQ14" s="87"/>
      <c r="AR14" s="87"/>
      <c r="AT14" s="108"/>
      <c r="AU14" s="108"/>
      <c r="AV14" s="108"/>
      <c r="AW14" s="108"/>
      <c r="AY14" s="87"/>
      <c r="AZ14" s="87"/>
      <c r="BA14" s="87"/>
      <c r="BC14" s="108"/>
      <c r="BD14" s="108"/>
      <c r="BE14" s="108"/>
      <c r="BF14" s="108"/>
      <c r="BH14" s="87"/>
      <c r="BI14" s="87"/>
      <c r="BJ14" s="87"/>
      <c r="BL14" s="108"/>
      <c r="BM14" s="108"/>
      <c r="BN14" s="108"/>
      <c r="BO14" s="108"/>
      <c r="BQ14" s="87"/>
      <c r="BR14" s="87"/>
      <c r="BS14" s="87"/>
      <c r="BU14" s="108"/>
      <c r="BV14" s="108"/>
      <c r="BW14" s="108"/>
      <c r="BX14" s="108"/>
      <c r="BZ14" s="87"/>
      <c r="CA14" s="87"/>
      <c r="CB14" s="87"/>
      <c r="CD14" s="108"/>
      <c r="CE14" s="108"/>
      <c r="CF14" s="108"/>
      <c r="CG14" s="108"/>
      <c r="CI14" s="87"/>
      <c r="CJ14" s="87"/>
      <c r="CK14" s="87"/>
      <c r="CM14" s="108"/>
      <c r="CN14" s="108"/>
      <c r="CO14" s="108"/>
      <c r="CP14" s="108"/>
      <c r="CR14" s="87"/>
      <c r="CS14" s="87"/>
      <c r="CT14" s="87"/>
      <c r="CV14" s="108"/>
      <c r="CW14" s="108"/>
      <c r="CX14" s="108"/>
      <c r="CY14" s="108"/>
      <c r="DA14" s="87"/>
      <c r="DB14" s="87"/>
      <c r="DC14" s="87"/>
      <c r="DE14" s="108"/>
      <c r="DF14" s="108"/>
      <c r="DG14" s="108"/>
      <c r="DH14" s="108"/>
      <c r="DJ14" s="87"/>
      <c r="DK14" s="87"/>
      <c r="DL14" s="87"/>
      <c r="DN14" s="108"/>
      <c r="DO14" s="108"/>
      <c r="DP14" s="108"/>
      <c r="DQ14" s="108"/>
      <c r="DS14" s="87"/>
      <c r="DT14" s="87"/>
      <c r="DU14" s="87"/>
      <c r="DW14" s="108"/>
      <c r="DX14" s="108"/>
      <c r="DY14" s="108"/>
      <c r="DZ14" s="108"/>
      <c r="EB14" s="87"/>
      <c r="EC14" s="87"/>
      <c r="ED14" s="87"/>
      <c r="EF14" s="108"/>
      <c r="EG14" s="108"/>
      <c r="EH14" s="108"/>
      <c r="EI14" s="108"/>
      <c r="EK14" s="87"/>
      <c r="EL14" s="87"/>
      <c r="EM14" s="87"/>
      <c r="EO14" s="108"/>
      <c r="EP14" s="108"/>
      <c r="EQ14" s="108"/>
      <c r="ER14" s="108"/>
      <c r="ET14" s="87"/>
      <c r="EU14" s="87"/>
      <c r="EV14" s="87"/>
      <c r="EX14" s="108"/>
      <c r="EY14" s="108"/>
      <c r="EZ14" s="108"/>
      <c r="FA14" s="108"/>
      <c r="FC14" s="87"/>
      <c r="FD14" s="87"/>
      <c r="FE14" s="87"/>
      <c r="FG14" s="108"/>
      <c r="FH14" s="108"/>
      <c r="FI14" s="108"/>
      <c r="FJ14" s="108"/>
      <c r="FL14" s="87"/>
      <c r="FM14" s="87"/>
      <c r="FN14" s="87"/>
      <c r="FP14" s="108"/>
      <c r="FQ14" s="108"/>
      <c r="FR14" s="108"/>
      <c r="FS14" s="108"/>
      <c r="FU14" s="87"/>
      <c r="FV14" s="87"/>
      <c r="FW14" s="87"/>
      <c r="FY14" s="108"/>
      <c r="FZ14" s="108"/>
      <c r="GA14" s="108"/>
      <c r="GB14" s="108"/>
      <c r="GD14" s="87"/>
      <c r="GE14" s="87"/>
      <c r="GF14" s="87"/>
      <c r="GH14" s="108"/>
      <c r="GI14" s="108"/>
      <c r="GJ14" s="108"/>
      <c r="GK14" s="108"/>
      <c r="GM14" s="87"/>
      <c r="GN14" s="87"/>
      <c r="GO14" s="87"/>
    </row>
    <row r="15" spans="1:197" s="55" customFormat="1" ht="27" customHeight="1" thickTop="1" x14ac:dyDescent="0.2">
      <c r="A15" s="30" t="s">
        <v>167</v>
      </c>
      <c r="B15" s="30" t="s">
        <v>38</v>
      </c>
      <c r="G15" s="84"/>
      <c r="H15" s="84"/>
      <c r="I15" s="84"/>
      <c r="J15" s="84"/>
      <c r="K15" s="15"/>
      <c r="L15" s="15"/>
    </row>
    <row r="16" spans="1:197" s="56" customFormat="1" x14ac:dyDescent="0.2">
      <c r="A16" s="19"/>
      <c r="B16" s="5" t="s">
        <v>226</v>
      </c>
      <c r="C16" s="6" t="s">
        <v>79</v>
      </c>
      <c r="D16" s="6" t="s">
        <v>79</v>
      </c>
      <c r="E16" s="6" t="s">
        <v>227</v>
      </c>
      <c r="F16" s="6" t="s">
        <v>37</v>
      </c>
      <c r="G16" s="6" t="s">
        <v>37</v>
      </c>
      <c r="H16" s="6" t="s">
        <v>41</v>
      </c>
      <c r="I16" s="6" t="s">
        <v>216</v>
      </c>
      <c r="J16" s="6" t="s">
        <v>216</v>
      </c>
      <c r="K16" s="30"/>
      <c r="L16" s="30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spans="1:197" s="56" customFormat="1" x14ac:dyDescent="0.2">
      <c r="A17" s="19"/>
      <c r="B17" s="5"/>
      <c r="C17" s="6" t="s">
        <v>228</v>
      </c>
      <c r="D17" s="6" t="s">
        <v>112</v>
      </c>
      <c r="E17" s="6" t="s">
        <v>229</v>
      </c>
      <c r="F17" s="6" t="s">
        <v>230</v>
      </c>
      <c r="G17" s="6" t="s">
        <v>230</v>
      </c>
      <c r="H17" s="6" t="s">
        <v>231</v>
      </c>
      <c r="I17" s="6" t="s">
        <v>231</v>
      </c>
      <c r="J17" s="6" t="s">
        <v>219</v>
      </c>
      <c r="K17" s="30"/>
      <c r="L17" s="30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1:197" s="56" customFormat="1" x14ac:dyDescent="0.2">
      <c r="A18" s="31" t="s">
        <v>51</v>
      </c>
      <c r="B18" s="7"/>
      <c r="C18" s="8"/>
      <c r="D18" s="8"/>
      <c r="E18" s="8"/>
      <c r="F18" s="8" t="s">
        <v>75</v>
      </c>
      <c r="G18" s="8" t="s">
        <v>220</v>
      </c>
      <c r="H18" s="8" t="s">
        <v>220</v>
      </c>
      <c r="I18" s="8" t="s">
        <v>220</v>
      </c>
      <c r="J18" s="8" t="s">
        <v>220</v>
      </c>
      <c r="K18" s="30"/>
      <c r="L18" s="30" t="s">
        <v>232</v>
      </c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197" s="55" customFormat="1" x14ac:dyDescent="0.2">
      <c r="A19" s="39" t="s">
        <v>233</v>
      </c>
      <c r="B19" s="103">
        <f>SUMIF('Invulblad WB'!$AD:$AD,$L19,'Invulblad WB'!$E:$E)</f>
        <v>0</v>
      </c>
      <c r="C19" s="109">
        <f>IF(B19=0,0,SUMIF('Invulblad WB'!$AD:$AD,$L19,'Invulblad WB'!$Y:$Y))</f>
        <v>0</v>
      </c>
      <c r="D19" s="110">
        <f>IF(B19=0,0,SUMIF('Invulblad WB'!$AD:$AD,$L19,'Invulblad WB'!$X:$X))</f>
        <v>0</v>
      </c>
      <c r="E19" s="111">
        <f>IF(B19=0,0,C19/D19)</f>
        <v>0</v>
      </c>
      <c r="F19" s="112">
        <f>IF(B19=0,0,SUMIF('Invulblad WB'!$AD:$AD,$L19,'Invulblad WB'!$AE:$AE))</f>
        <v>0</v>
      </c>
      <c r="G19" s="112">
        <f>IF(B19=0,0,F19/1.21)</f>
        <v>0</v>
      </c>
      <c r="H19" s="112">
        <f>IF(B19=0,0,SUMIF('Invulblad WB'!$AD:$AD,$L19,'Invulblad WB'!$AF:$AF))</f>
        <v>0</v>
      </c>
      <c r="I19" s="112">
        <f>IF(B19=0,0,SUMIF('Invulblad WB'!$AD:$AD,$L19,'Invulblad WB'!$AG:$AG))</f>
        <v>0</v>
      </c>
      <c r="J19" s="112">
        <f t="shared" ref="J19:J21" si="9">IF(D19=0,0,I19/D19)</f>
        <v>0</v>
      </c>
      <c r="K19" s="15"/>
      <c r="L19" s="15" t="str">
        <f>$A$15&amp;A19</f>
        <v>EengezinsSociale huur (tot € 900,-)</v>
      </c>
    </row>
    <row r="20" spans="1:197" s="55" customFormat="1" x14ac:dyDescent="0.2">
      <c r="A20" s="40" t="s">
        <v>234</v>
      </c>
      <c r="B20" s="104">
        <f>SUMIF('Invulblad WB'!$AD:$AD,$L20,'Invulblad WB'!$E:$E)</f>
        <v>0</v>
      </c>
      <c r="C20" s="109">
        <f>IF(B20=0,0,SUMIF('Invulblad WB'!$AD:$AD,$L20,'Invulblad WB'!$Y:$Y))</f>
        <v>0</v>
      </c>
      <c r="D20" s="110">
        <f>IF(B20=0,0,SUMIF('Invulblad WB'!$AD:$AD,$L20,'Invulblad WB'!$X:$X))</f>
        <v>0</v>
      </c>
      <c r="E20" s="113">
        <f>IF(B20=0,0,C20/D20)</f>
        <v>0</v>
      </c>
      <c r="F20" s="112">
        <f>IF(B20=0,0,SUMIF('Invulblad WB'!$AD:$AD,$L20,'Invulblad WB'!$AE:$AE))</f>
        <v>0</v>
      </c>
      <c r="G20" s="114">
        <f>IF(B20=0,0,F20/1.21)</f>
        <v>0</v>
      </c>
      <c r="H20" s="112">
        <f>IF(B20=0,0,SUMIF('Invulblad WB'!$AD:$AD,$L20,'Invulblad WB'!$AF:$AF))</f>
        <v>0</v>
      </c>
      <c r="I20" s="112">
        <f>IF(B20=0,0,SUMIF('Invulblad WB'!$AD:$AD,$L20,'Invulblad WB'!$AG:$AG))</f>
        <v>0</v>
      </c>
      <c r="J20" s="112">
        <f t="shared" si="9"/>
        <v>0</v>
      </c>
      <c r="K20" s="15"/>
      <c r="L20" s="15" t="str">
        <f t="shared" ref="L20:L21" si="10">$A$15&amp;A20</f>
        <v>EengezinsMiddenhuur (van € 900 tot € 1.184)</v>
      </c>
    </row>
    <row r="21" spans="1:197" s="55" customFormat="1" ht="16" thickBot="1" x14ac:dyDescent="0.25">
      <c r="A21" s="41" t="s">
        <v>235</v>
      </c>
      <c r="B21" s="115">
        <f>SUMIF('Invulblad WB'!$AD:$AD,$L21,'Invulblad WB'!$E:$E)</f>
        <v>0</v>
      </c>
      <c r="C21" s="116">
        <f>IF(B21=0,0,SUMIF('Invulblad WB'!$AD:$AD,$L21,'Invulblad WB'!$Y:$Y))</f>
        <v>0</v>
      </c>
      <c r="D21" s="117">
        <f>IF(B21=0,0,SUMIF('Invulblad WB'!$AD:$AD,$L21,'Invulblad WB'!$X:$X))</f>
        <v>0</v>
      </c>
      <c r="E21" s="118">
        <f>IF(B21=0,0,C21/D21)</f>
        <v>0</v>
      </c>
      <c r="F21" s="119">
        <f>IF(B21=0,0,SUMIF('Invulblad WB'!$AD:$AD,$L21,'Invulblad WB'!$AE:$AE))</f>
        <v>0</v>
      </c>
      <c r="G21" s="119">
        <f>IF(B21=0,0,F21/1.21)</f>
        <v>0</v>
      </c>
      <c r="H21" s="119">
        <f>IF(B21=0,0,SUMIF('Invulblad WB'!$AD:$AD,$L21,'Invulblad WB'!$AF:$AF))</f>
        <v>0</v>
      </c>
      <c r="I21" s="119">
        <f>IF(B21=0,0,SUMIF('Invulblad WB'!$AD:$AD,$L21,'Invulblad WB'!$AG:$AG))</f>
        <v>0</v>
      </c>
      <c r="J21" s="119">
        <f t="shared" si="9"/>
        <v>0</v>
      </c>
      <c r="K21" s="43"/>
      <c r="L21" s="15" t="str">
        <f t="shared" si="10"/>
        <v>EengezinsDure huur (vanaf € 1.184)</v>
      </c>
      <c r="M21" s="122"/>
      <c r="N21" s="123"/>
      <c r="O21" s="124"/>
      <c r="P21" s="124"/>
      <c r="Q21" s="124"/>
      <c r="R21" s="124"/>
      <c r="T21" s="120"/>
      <c r="U21" s="121"/>
      <c r="V21" s="122"/>
      <c r="W21" s="123"/>
      <c r="X21" s="124"/>
      <c r="Y21" s="121"/>
      <c r="Z21" s="122"/>
      <c r="AA21" s="123"/>
      <c r="AB21" s="124"/>
      <c r="AC21" s="124"/>
      <c r="AD21" s="124"/>
      <c r="AE21" s="124"/>
      <c r="AG21" s="120"/>
      <c r="AH21" s="121"/>
      <c r="AI21" s="122"/>
      <c r="AJ21" s="123"/>
      <c r="AK21" s="124"/>
      <c r="AL21" s="124"/>
      <c r="AM21" s="124"/>
      <c r="AN21" s="124"/>
      <c r="AP21" s="120"/>
      <c r="AQ21" s="121"/>
      <c r="AR21" s="122"/>
      <c r="AS21" s="123"/>
      <c r="AT21" s="124"/>
      <c r="AU21" s="124"/>
      <c r="AV21" s="124"/>
      <c r="AW21" s="124"/>
      <c r="AY21" s="120"/>
      <c r="AZ21" s="121"/>
      <c r="BA21" s="122"/>
      <c r="BB21" s="123"/>
      <c r="BC21" s="124"/>
      <c r="BD21" s="124"/>
      <c r="BE21" s="124"/>
      <c r="BF21" s="124"/>
      <c r="BH21" s="120"/>
      <c r="BI21" s="121"/>
      <c r="BJ21" s="122"/>
      <c r="BK21" s="123"/>
      <c r="BL21" s="124"/>
      <c r="BM21" s="124"/>
      <c r="BN21" s="124"/>
      <c r="BO21" s="124"/>
      <c r="BQ21" s="120"/>
      <c r="BR21" s="121"/>
      <c r="BS21" s="122"/>
      <c r="BT21" s="123"/>
      <c r="BU21" s="124"/>
      <c r="BV21" s="124"/>
      <c r="BW21" s="124"/>
      <c r="BX21" s="124"/>
      <c r="BZ21" s="120"/>
      <c r="CA21" s="121"/>
      <c r="CB21" s="122"/>
      <c r="CC21" s="123"/>
      <c r="CD21" s="124"/>
      <c r="CE21" s="124"/>
      <c r="CF21" s="124"/>
      <c r="CG21" s="124"/>
      <c r="CI21" s="120"/>
      <c r="CJ21" s="121"/>
      <c r="CK21" s="122"/>
      <c r="CL21" s="123"/>
      <c r="CM21" s="124"/>
      <c r="CN21" s="124"/>
      <c r="CO21" s="124"/>
      <c r="CP21" s="124"/>
      <c r="CR21" s="120"/>
      <c r="CS21" s="121"/>
      <c r="CT21" s="122"/>
      <c r="CU21" s="123"/>
      <c r="CV21" s="124"/>
      <c r="CW21" s="124"/>
      <c r="CX21" s="124"/>
      <c r="CY21" s="124"/>
      <c r="DA21" s="120"/>
      <c r="DB21" s="121"/>
      <c r="DC21" s="122"/>
      <c r="DD21" s="123"/>
      <c r="DE21" s="124"/>
      <c r="DF21" s="124"/>
      <c r="DG21" s="124"/>
      <c r="DH21" s="124"/>
      <c r="DJ21" s="120"/>
      <c r="DK21" s="121"/>
      <c r="DL21" s="122"/>
      <c r="DM21" s="123"/>
      <c r="DN21" s="124"/>
      <c r="DO21" s="124"/>
      <c r="DP21" s="124"/>
      <c r="DQ21" s="124"/>
      <c r="DS21" s="120"/>
      <c r="DT21" s="121"/>
      <c r="DU21" s="122"/>
      <c r="DV21" s="123"/>
      <c r="DW21" s="124"/>
      <c r="DX21" s="124"/>
      <c r="DY21" s="124"/>
      <c r="DZ21" s="124"/>
      <c r="EB21" s="120"/>
      <c r="EC21" s="121"/>
      <c r="ED21" s="122"/>
      <c r="EE21" s="123"/>
      <c r="EF21" s="124"/>
      <c r="EG21" s="124"/>
      <c r="EH21" s="124"/>
      <c r="EI21" s="124"/>
      <c r="EK21" s="120"/>
      <c r="EL21" s="121"/>
      <c r="EM21" s="122"/>
      <c r="EN21" s="123"/>
      <c r="EO21" s="124"/>
      <c r="EP21" s="124"/>
      <c r="EQ21" s="124"/>
      <c r="ER21" s="124"/>
      <c r="ET21" s="120"/>
      <c r="EU21" s="121"/>
      <c r="EV21" s="122"/>
      <c r="EW21" s="123"/>
      <c r="EX21" s="124"/>
      <c r="EY21" s="124"/>
      <c r="EZ21" s="124"/>
      <c r="FA21" s="124"/>
      <c r="FC21" s="120"/>
      <c r="FD21" s="121"/>
      <c r="FE21" s="122"/>
      <c r="FF21" s="123"/>
      <c r="FG21" s="124"/>
      <c r="FH21" s="124"/>
      <c r="FI21" s="124"/>
      <c r="FJ21" s="124"/>
      <c r="FL21" s="120"/>
      <c r="FM21" s="121"/>
      <c r="FN21" s="122"/>
      <c r="FO21" s="123"/>
      <c r="FP21" s="124"/>
      <c r="FQ21" s="124"/>
      <c r="FR21" s="124"/>
      <c r="FS21" s="124"/>
      <c r="FU21" s="120"/>
      <c r="FV21" s="121"/>
      <c r="FW21" s="122"/>
      <c r="FX21" s="123"/>
      <c r="FY21" s="124"/>
      <c r="FZ21" s="124"/>
      <c r="GA21" s="124"/>
      <c r="GB21" s="124"/>
      <c r="GD21" s="120"/>
      <c r="GE21" s="121"/>
      <c r="GF21" s="122"/>
      <c r="GG21" s="123"/>
      <c r="GH21" s="124"/>
      <c r="GI21" s="124"/>
      <c r="GJ21" s="124"/>
      <c r="GK21" s="124"/>
      <c r="GM21" s="120"/>
      <c r="GN21" s="121"/>
      <c r="GO21" s="122"/>
    </row>
    <row r="22" spans="1:197" s="55" customFormat="1" ht="17" thickTop="1" thickBot="1" x14ac:dyDescent="0.25">
      <c r="A22" s="42" t="s">
        <v>225</v>
      </c>
      <c r="B22" s="106">
        <f>SUM(B19:B21)</f>
        <v>0</v>
      </c>
      <c r="C22" s="106">
        <f>SUM(C19:C21)</f>
        <v>0</v>
      </c>
      <c r="D22" s="106">
        <f>SUM(D19:D21)</f>
        <v>0</v>
      </c>
      <c r="E22" s="125">
        <f>IF(B22=0,0,C22/D22)</f>
        <v>0</v>
      </c>
      <c r="F22" s="126">
        <f>SUM(F19:F21)</f>
        <v>0</v>
      </c>
      <c r="G22" s="126">
        <f>SUM(G19:G21)</f>
        <v>0</v>
      </c>
      <c r="H22" s="126">
        <f>SUM(H19:H21)</f>
        <v>0</v>
      </c>
      <c r="I22" s="126">
        <f>SUM(I19:I21)</f>
        <v>0</v>
      </c>
      <c r="J22" s="126">
        <f>IF(D22=0,0,I22/D22)</f>
        <v>0</v>
      </c>
      <c r="K22" s="34"/>
      <c r="L22" s="15"/>
      <c r="M22" s="87"/>
      <c r="O22" s="108"/>
      <c r="P22" s="108"/>
      <c r="Q22" s="108"/>
      <c r="R22" s="108"/>
      <c r="T22" s="87"/>
      <c r="U22" s="87"/>
      <c r="V22" s="87"/>
      <c r="X22" s="108"/>
      <c r="Y22" s="87"/>
      <c r="Z22" s="87"/>
      <c r="AB22" s="108"/>
      <c r="AC22" s="108"/>
      <c r="AD22" s="108"/>
      <c r="AE22" s="108"/>
      <c r="AG22" s="87"/>
      <c r="AH22" s="87"/>
      <c r="AI22" s="87"/>
      <c r="AK22" s="108"/>
      <c r="AL22" s="108"/>
      <c r="AM22" s="108"/>
      <c r="AN22" s="108"/>
      <c r="AP22" s="87"/>
      <c r="AQ22" s="87"/>
      <c r="AR22" s="87"/>
      <c r="AT22" s="108"/>
      <c r="AU22" s="108"/>
      <c r="AV22" s="108"/>
      <c r="AW22" s="108"/>
      <c r="AY22" s="87"/>
      <c r="AZ22" s="87"/>
      <c r="BA22" s="87"/>
      <c r="BC22" s="108"/>
      <c r="BD22" s="108"/>
      <c r="BE22" s="108"/>
      <c r="BF22" s="108"/>
      <c r="BH22" s="87"/>
      <c r="BI22" s="87"/>
      <c r="BJ22" s="87"/>
      <c r="BL22" s="108"/>
      <c r="BM22" s="108"/>
      <c r="BN22" s="108"/>
      <c r="BO22" s="108"/>
      <c r="BQ22" s="87"/>
      <c r="BR22" s="87"/>
      <c r="BS22" s="87"/>
      <c r="BU22" s="108"/>
      <c r="BV22" s="108"/>
      <c r="BW22" s="108"/>
      <c r="BX22" s="108"/>
      <c r="BZ22" s="87"/>
      <c r="CA22" s="87"/>
      <c r="CB22" s="87"/>
      <c r="CD22" s="108"/>
      <c r="CE22" s="108"/>
      <c r="CF22" s="108"/>
      <c r="CG22" s="108"/>
      <c r="CI22" s="87"/>
      <c r="CJ22" s="87"/>
      <c r="CK22" s="87"/>
      <c r="CM22" s="108"/>
      <c r="CN22" s="108"/>
      <c r="CO22" s="108"/>
      <c r="CP22" s="108"/>
      <c r="CR22" s="87"/>
      <c r="CS22" s="87"/>
      <c r="CT22" s="87"/>
      <c r="CV22" s="108"/>
      <c r="CW22" s="108"/>
      <c r="CX22" s="108"/>
      <c r="CY22" s="108"/>
      <c r="DA22" s="87"/>
      <c r="DB22" s="87"/>
      <c r="DC22" s="87"/>
      <c r="DE22" s="108"/>
      <c r="DF22" s="108"/>
      <c r="DG22" s="108"/>
      <c r="DH22" s="108"/>
      <c r="DJ22" s="87"/>
      <c r="DK22" s="87"/>
      <c r="DL22" s="87"/>
      <c r="DN22" s="108"/>
      <c r="DO22" s="108"/>
      <c r="DP22" s="108"/>
      <c r="DQ22" s="108"/>
      <c r="DS22" s="87"/>
      <c r="DT22" s="87"/>
      <c r="DU22" s="87"/>
      <c r="DW22" s="108"/>
      <c r="DX22" s="108"/>
      <c r="DY22" s="108"/>
      <c r="DZ22" s="108"/>
      <c r="EB22" s="87"/>
      <c r="EC22" s="87"/>
      <c r="ED22" s="87"/>
      <c r="EF22" s="108"/>
      <c r="EG22" s="108"/>
      <c r="EH22" s="108"/>
      <c r="EI22" s="108"/>
      <c r="EK22" s="87"/>
      <c r="EL22" s="87"/>
      <c r="EM22" s="87"/>
      <c r="EO22" s="108"/>
      <c r="EP22" s="108"/>
      <c r="EQ22" s="108"/>
      <c r="ER22" s="108"/>
      <c r="ET22" s="87"/>
      <c r="EU22" s="87"/>
      <c r="EV22" s="87"/>
      <c r="EX22" s="108"/>
      <c r="EY22" s="108"/>
      <c r="EZ22" s="108"/>
      <c r="FA22" s="108"/>
      <c r="FC22" s="87"/>
      <c r="FD22" s="87"/>
      <c r="FE22" s="87"/>
      <c r="FG22" s="108"/>
      <c r="FH22" s="108"/>
      <c r="FI22" s="108"/>
      <c r="FJ22" s="108"/>
      <c r="FL22" s="87"/>
      <c r="FM22" s="87"/>
      <c r="FN22" s="87"/>
      <c r="FP22" s="108"/>
      <c r="FQ22" s="108"/>
      <c r="FR22" s="108"/>
      <c r="FS22" s="108"/>
      <c r="FU22" s="87"/>
      <c r="FV22" s="87"/>
      <c r="FW22" s="87"/>
      <c r="FY22" s="108"/>
      <c r="FZ22" s="108"/>
      <c r="GA22" s="108"/>
      <c r="GB22" s="108"/>
      <c r="GD22" s="87"/>
      <c r="GE22" s="87"/>
      <c r="GF22" s="87"/>
      <c r="GH22" s="108"/>
      <c r="GI22" s="108"/>
      <c r="GJ22" s="108"/>
      <c r="GK22" s="108"/>
      <c r="GM22" s="87"/>
      <c r="GN22" s="87"/>
      <c r="GO22" s="87"/>
    </row>
    <row r="23" spans="1:197" s="55" customFormat="1" ht="16" thickTop="1" x14ac:dyDescent="0.2">
      <c r="A23" s="15"/>
      <c r="K23" s="15"/>
      <c r="L23" s="15"/>
    </row>
    <row r="24" spans="1:197" s="85" customFormat="1" x14ac:dyDescent="0.2">
      <c r="A24" s="30" t="s">
        <v>167</v>
      </c>
      <c r="B24" s="30" t="s">
        <v>80</v>
      </c>
      <c r="C24" s="88"/>
      <c r="D24" s="88"/>
      <c r="E24" s="89"/>
      <c r="F24" s="90"/>
      <c r="G24" s="90"/>
      <c r="H24" s="90"/>
      <c r="I24" s="90"/>
      <c r="J24" s="90"/>
      <c r="K24" s="30"/>
      <c r="L24" s="15"/>
    </row>
    <row r="25" spans="1:197" s="56" customFormat="1" x14ac:dyDescent="0.2">
      <c r="A25" s="19"/>
      <c r="B25" s="5" t="s">
        <v>226</v>
      </c>
      <c r="C25" s="6" t="s">
        <v>79</v>
      </c>
      <c r="D25" s="6" t="s">
        <v>79</v>
      </c>
      <c r="E25" s="6" t="s">
        <v>227</v>
      </c>
      <c r="F25" s="6" t="s">
        <v>37</v>
      </c>
      <c r="G25" s="6" t="s">
        <v>37</v>
      </c>
      <c r="H25" s="6" t="s">
        <v>41</v>
      </c>
      <c r="I25" s="6" t="s">
        <v>216</v>
      </c>
      <c r="J25" s="6" t="s">
        <v>216</v>
      </c>
      <c r="K25" s="30"/>
      <c r="L25" s="1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spans="1:197" s="56" customFormat="1" x14ac:dyDescent="0.2">
      <c r="A26" s="19"/>
      <c r="B26" s="5"/>
      <c r="C26" s="6" t="s">
        <v>228</v>
      </c>
      <c r="D26" s="6" t="s">
        <v>112</v>
      </c>
      <c r="E26" s="6" t="s">
        <v>229</v>
      </c>
      <c r="F26" s="6" t="s">
        <v>230</v>
      </c>
      <c r="G26" s="6" t="s">
        <v>230</v>
      </c>
      <c r="H26" s="6" t="s">
        <v>231</v>
      </c>
      <c r="I26" s="6" t="s">
        <v>231</v>
      </c>
      <c r="J26" s="6" t="s">
        <v>219</v>
      </c>
      <c r="K26" s="30"/>
      <c r="L26" s="1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spans="1:197" s="56" customFormat="1" x14ac:dyDescent="0.2">
      <c r="A27" s="31" t="s">
        <v>51</v>
      </c>
      <c r="B27" s="7"/>
      <c r="C27" s="8"/>
      <c r="D27" s="8"/>
      <c r="E27" s="8"/>
      <c r="F27" s="8" t="s">
        <v>75</v>
      </c>
      <c r="G27" s="8" t="s">
        <v>220</v>
      </c>
      <c r="H27" s="8" t="s">
        <v>220</v>
      </c>
      <c r="I27" s="8" t="s">
        <v>220</v>
      </c>
      <c r="J27" s="8" t="s">
        <v>220</v>
      </c>
      <c r="K27" s="30"/>
      <c r="L27" s="1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spans="1:197" s="55" customFormat="1" x14ac:dyDescent="0.2">
      <c r="A28" s="39" t="s">
        <v>236</v>
      </c>
      <c r="B28" s="104">
        <f>SUMIF('Invulblad WB'!$AD:$AD,$L28,'Invulblad WB'!$E:$E)</f>
        <v>0</v>
      </c>
      <c r="C28" s="109">
        <f>IF(B28=0,0,SUMIF('Invulblad WB'!$AD:$AD,$L28,'Invulblad WB'!$Y:$Y))</f>
        <v>0</v>
      </c>
      <c r="D28" s="110">
        <f>IF(B28=0,0,SUMIF('Invulblad WB'!$AD:$AD,$L28,'Invulblad WB'!$X:$X))</f>
        <v>0</v>
      </c>
      <c r="E28" s="111">
        <f t="shared" ref="E28:E33" si="11">IF(B28=0,0,C28/D28)</f>
        <v>0</v>
      </c>
      <c r="F28" s="112">
        <f>IF(B28=0,0,SUMIF('Invulblad WB'!$AD:$AD,$L28,'Invulblad WB'!$AE:$AE))</f>
        <v>0</v>
      </c>
      <c r="G28" s="112">
        <f>IF(B28=0,0,F28/1.21)</f>
        <v>0</v>
      </c>
      <c r="H28" s="112">
        <f>IF(B28=0,0,SUMIF('Invulblad WB'!$AD:$AD,$L28,'Invulblad WB'!$AF:$AF))</f>
        <v>0</v>
      </c>
      <c r="I28" s="112">
        <f>IF(B28=0,0,SUMIF('Invulblad WB'!$AD:$AD,$L28,'Invulblad WB'!$AG:$AG))</f>
        <v>0</v>
      </c>
      <c r="J28" s="112">
        <f t="shared" ref="J28:J33" si="12">IF(D28=0,0,I28/D28)</f>
        <v>0</v>
      </c>
      <c r="K28" s="15"/>
      <c r="L28" s="15" t="str">
        <f>$A$15&amp;A28</f>
        <v>EengezinsSociale koop (tot € 240.000)</v>
      </c>
    </row>
    <row r="29" spans="1:197" s="55" customFormat="1" x14ac:dyDescent="0.2">
      <c r="A29" s="40" t="s">
        <v>237</v>
      </c>
      <c r="B29" s="104">
        <f>SUMIF('Invulblad WB'!$AD:$AD,$L29,'Invulblad WB'!$E:$E)</f>
        <v>0</v>
      </c>
      <c r="C29" s="109">
        <f>IF(B29=0,0,SUMIF('Invulblad WB'!$AD:$AD,$L29,'Invulblad WB'!$Y:$Y))</f>
        <v>0</v>
      </c>
      <c r="D29" s="110">
        <f>IF(B29=0,0,SUMIF('Invulblad WB'!$AD:$AD,$L29,'Invulblad WB'!$X:$X))</f>
        <v>0</v>
      </c>
      <c r="E29" s="113">
        <f t="shared" si="11"/>
        <v>0</v>
      </c>
      <c r="F29" s="112">
        <f>IF(B29=0,0,SUMIF('Invulblad WB'!$AD:$AD,$L29,'Invulblad WB'!$AE:$AE))</f>
        <v>0</v>
      </c>
      <c r="G29" s="114">
        <f>IF(B29=0,0,F29/1.21)</f>
        <v>0</v>
      </c>
      <c r="H29" s="112">
        <f>IF(B29=0,0,SUMIF('Invulblad WB'!$AD:$AD,$L29,'Invulblad WB'!$AF:$AF))</f>
        <v>0</v>
      </c>
      <c r="I29" s="112">
        <f>IF(B29=0,0,SUMIF('Invulblad WB'!$AD:$AD,$L29,'Invulblad WB'!$AG:$AG))</f>
        <v>0</v>
      </c>
      <c r="J29" s="112">
        <f t="shared" si="12"/>
        <v>0</v>
      </c>
      <c r="K29" s="15"/>
      <c r="L29" s="15" t="str">
        <f t="shared" ref="L29:L32" si="13">$A$15&amp;A29</f>
        <v>EengezinsLage middeldure koop (van € 240.000 tot € 285.000)</v>
      </c>
    </row>
    <row r="30" spans="1:197" s="55" customFormat="1" x14ac:dyDescent="0.2">
      <c r="A30" s="39" t="s">
        <v>238</v>
      </c>
      <c r="B30" s="104">
        <f>SUMIF('Invulblad WB'!$AD:$AD,$L30,'Invulblad WB'!$E:$E)</f>
        <v>0</v>
      </c>
      <c r="C30" s="109">
        <f>IF(B30=0,0,SUMIF('Invulblad WB'!$AD:$AD,$L30,'Invulblad WB'!$Y:$Y))</f>
        <v>0</v>
      </c>
      <c r="D30" s="110">
        <f>IF(B30=0,0,SUMIF('Invulblad WB'!$AD:$AD,$L30,'Invulblad WB'!$X:$X))</f>
        <v>0</v>
      </c>
      <c r="E30" s="111">
        <f t="shared" si="11"/>
        <v>0</v>
      </c>
      <c r="F30" s="112">
        <f>IF(B30=0,0,SUMIF('Invulblad WB'!$AD:$AD,$L30,'Invulblad WB'!$AE:$AE))</f>
        <v>0</v>
      </c>
      <c r="G30" s="112">
        <f>IF(B30=0,0,F30/1.21)</f>
        <v>0</v>
      </c>
      <c r="H30" s="112">
        <f>IF(B30=0,0,SUMIF('Invulblad WB'!$AD:$AD,$L30,'Invulblad WB'!$AF:$AF))</f>
        <v>0</v>
      </c>
      <c r="I30" s="112">
        <f>IF(B30=0,0,SUMIF('Invulblad WB'!$AD:$AD,$L30,'Invulblad WB'!$AG:$AG))</f>
        <v>0</v>
      </c>
      <c r="J30" s="112">
        <f t="shared" si="12"/>
        <v>0</v>
      </c>
      <c r="K30" s="15"/>
      <c r="L30" s="15" t="str">
        <f t="shared" si="13"/>
        <v>EengezinsMidden middeldure koop (van € 285.000 tot € 330.000)</v>
      </c>
    </row>
    <row r="31" spans="1:197" s="55" customFormat="1" x14ac:dyDescent="0.2">
      <c r="A31" s="39" t="s">
        <v>239</v>
      </c>
      <c r="B31" s="104">
        <f>SUMIF('Invulblad WB'!$AD:$AD,$L31,'Invulblad WB'!$E:$E)</f>
        <v>0</v>
      </c>
      <c r="C31" s="109">
        <f>IF(B31=0,0,SUMIF('Invulblad WB'!$AD:$AD,$L31,'Invulblad WB'!$Y:$Y))</f>
        <v>0</v>
      </c>
      <c r="D31" s="110">
        <f>IF(B31=0,0,SUMIF('Invulblad WB'!$AD:$AD,$L31,'Invulblad WB'!$X:$X))</f>
        <v>0</v>
      </c>
      <c r="E31" s="111">
        <f t="shared" si="11"/>
        <v>0</v>
      </c>
      <c r="F31" s="112">
        <f>IF(B31=0,0,SUMIF('Invulblad WB'!$AD:$AD,$L31,'Invulblad WB'!$AE:$AE))</f>
        <v>0</v>
      </c>
      <c r="G31" s="112">
        <f>IF(B31=0,0,F31/1.21)</f>
        <v>0</v>
      </c>
      <c r="H31" s="112">
        <f>IF(B31=0,0,SUMIF('Invulblad WB'!$AD:$AD,$L31,'Invulblad WB'!$AF:$AF))</f>
        <v>0</v>
      </c>
      <c r="I31" s="112">
        <f>IF(B31=0,0,SUMIF('Invulblad WB'!$AD:$AD,$L31,'Invulblad WB'!$AG:$AG))</f>
        <v>0</v>
      </c>
      <c r="J31" s="112">
        <f t="shared" si="12"/>
        <v>0</v>
      </c>
      <c r="K31" s="15"/>
      <c r="L31" s="15" t="str">
        <f t="shared" si="13"/>
        <v>EengezinsHoge middeldure koop (van € 330.000 tot € 405.000)</v>
      </c>
    </row>
    <row r="32" spans="1:197" s="55" customFormat="1" ht="16" thickBot="1" x14ac:dyDescent="0.25">
      <c r="A32" s="41" t="s">
        <v>240</v>
      </c>
      <c r="B32" s="115">
        <f>SUMIF('Invulblad WB'!$AD:$AD,$L32,'Invulblad WB'!$E:$E)</f>
        <v>0</v>
      </c>
      <c r="C32" s="116">
        <f>IF(B32=0,0,SUMIF('Invulblad WB'!$AD:$AD,$L32,'Invulblad WB'!$Y:$Y))</f>
        <v>0</v>
      </c>
      <c r="D32" s="117">
        <f>IF(B32=0,0,SUMIF('Invulblad WB'!$AD:$AD,$L32,'Invulblad WB'!$X:$X))</f>
        <v>0</v>
      </c>
      <c r="E32" s="118">
        <f t="shared" si="11"/>
        <v>0</v>
      </c>
      <c r="F32" s="119">
        <f>IF(B32=0,0,SUMIF('Invulblad WB'!$AD:$AD,$L32,'Invulblad WB'!$AE:$AE))</f>
        <v>0</v>
      </c>
      <c r="G32" s="119">
        <f>IF(B32=0,0,F32/1.21)</f>
        <v>0</v>
      </c>
      <c r="H32" s="119">
        <f>IF(B32=0,0,SUMIF('Invulblad WB'!$AD:$AD,$L32,'Invulblad WB'!$AF:$AF))</f>
        <v>0</v>
      </c>
      <c r="I32" s="119">
        <f>IF(B32=0,0,SUMIF('Invulblad WB'!$AD:$AD,$L32,'Invulblad WB'!$AG:$AG))</f>
        <v>0</v>
      </c>
      <c r="J32" s="119">
        <f t="shared" si="12"/>
        <v>0</v>
      </c>
      <c r="K32" s="43"/>
      <c r="L32" s="15" t="str">
        <f t="shared" si="13"/>
        <v>EengezinsDure koop (vanaf € 405.000)</v>
      </c>
      <c r="M32" s="122"/>
      <c r="N32" s="123"/>
      <c r="O32" s="124"/>
      <c r="P32" s="124"/>
      <c r="Q32" s="124"/>
      <c r="R32" s="124"/>
      <c r="T32" s="120"/>
      <c r="U32" s="121"/>
      <c r="V32" s="122"/>
      <c r="W32" s="123"/>
      <c r="X32" s="124"/>
      <c r="Y32" s="121"/>
      <c r="Z32" s="122"/>
      <c r="AA32" s="123"/>
      <c r="AB32" s="124"/>
      <c r="AC32" s="124"/>
      <c r="AD32" s="124"/>
      <c r="AE32" s="124"/>
      <c r="AG32" s="120"/>
      <c r="AH32" s="121"/>
      <c r="AI32" s="122"/>
      <c r="AJ32" s="123"/>
      <c r="AK32" s="124"/>
      <c r="AL32" s="124"/>
      <c r="AM32" s="124"/>
      <c r="AN32" s="124"/>
      <c r="AP32" s="120"/>
      <c r="AQ32" s="121"/>
      <c r="AR32" s="122"/>
      <c r="AS32" s="123"/>
      <c r="AT32" s="124"/>
      <c r="AU32" s="124"/>
      <c r="AV32" s="124"/>
      <c r="AW32" s="124"/>
      <c r="AY32" s="120"/>
      <c r="AZ32" s="121"/>
      <c r="BA32" s="122"/>
      <c r="BB32" s="123"/>
      <c r="BC32" s="124"/>
      <c r="BD32" s="124"/>
      <c r="BE32" s="124"/>
      <c r="BF32" s="124"/>
      <c r="BH32" s="120"/>
      <c r="BI32" s="121"/>
      <c r="BJ32" s="122"/>
      <c r="BK32" s="123"/>
      <c r="BL32" s="124"/>
      <c r="BM32" s="124"/>
      <c r="BN32" s="124"/>
      <c r="BO32" s="124"/>
      <c r="BQ32" s="120"/>
      <c r="BR32" s="121"/>
      <c r="BS32" s="122"/>
      <c r="BT32" s="123"/>
      <c r="BU32" s="124"/>
      <c r="BV32" s="124"/>
      <c r="BW32" s="124"/>
      <c r="BX32" s="124"/>
      <c r="BZ32" s="120"/>
      <c r="CA32" s="121"/>
      <c r="CB32" s="122"/>
      <c r="CC32" s="123"/>
      <c r="CD32" s="124"/>
      <c r="CE32" s="124"/>
      <c r="CF32" s="124"/>
      <c r="CG32" s="124"/>
      <c r="CI32" s="120"/>
      <c r="CJ32" s="121"/>
      <c r="CK32" s="122"/>
      <c r="CL32" s="123"/>
      <c r="CM32" s="124"/>
      <c r="CN32" s="124"/>
      <c r="CO32" s="124"/>
      <c r="CP32" s="124"/>
      <c r="CR32" s="120"/>
      <c r="CS32" s="121"/>
      <c r="CT32" s="122"/>
      <c r="CU32" s="123"/>
      <c r="CV32" s="124"/>
      <c r="CW32" s="124"/>
      <c r="CX32" s="124"/>
      <c r="CY32" s="124"/>
      <c r="DA32" s="120"/>
      <c r="DB32" s="121"/>
      <c r="DC32" s="122"/>
      <c r="DD32" s="123"/>
      <c r="DE32" s="124"/>
      <c r="DF32" s="124"/>
      <c r="DG32" s="124"/>
      <c r="DH32" s="124"/>
      <c r="DJ32" s="120"/>
      <c r="DK32" s="121"/>
      <c r="DL32" s="122"/>
      <c r="DM32" s="123"/>
      <c r="DN32" s="124"/>
      <c r="DO32" s="124"/>
      <c r="DP32" s="124"/>
      <c r="DQ32" s="124"/>
      <c r="DS32" s="120"/>
      <c r="DT32" s="121"/>
      <c r="DU32" s="122"/>
      <c r="DV32" s="123"/>
      <c r="DW32" s="124"/>
      <c r="DX32" s="124"/>
      <c r="DY32" s="124"/>
      <c r="DZ32" s="124"/>
      <c r="EB32" s="120"/>
      <c r="EC32" s="121"/>
      <c r="ED32" s="122"/>
      <c r="EE32" s="123"/>
      <c r="EF32" s="124"/>
      <c r="EG32" s="124"/>
      <c r="EH32" s="124"/>
      <c r="EI32" s="124"/>
      <c r="EK32" s="120"/>
      <c r="EL32" s="121"/>
      <c r="EM32" s="122"/>
      <c r="EN32" s="123"/>
      <c r="EO32" s="124"/>
      <c r="EP32" s="124"/>
      <c r="EQ32" s="124"/>
      <c r="ER32" s="124"/>
      <c r="ET32" s="120"/>
      <c r="EU32" s="121"/>
      <c r="EV32" s="122"/>
      <c r="EW32" s="123"/>
      <c r="EX32" s="124"/>
      <c r="EY32" s="124"/>
      <c r="EZ32" s="124"/>
      <c r="FA32" s="124"/>
      <c r="FC32" s="120"/>
      <c r="FD32" s="121"/>
      <c r="FE32" s="122"/>
      <c r="FF32" s="123"/>
      <c r="FG32" s="124"/>
      <c r="FH32" s="124"/>
      <c r="FI32" s="124"/>
      <c r="FJ32" s="124"/>
      <c r="FL32" s="120"/>
      <c r="FM32" s="121"/>
      <c r="FN32" s="122"/>
      <c r="FO32" s="123"/>
      <c r="FP32" s="124"/>
      <c r="FQ32" s="124"/>
      <c r="FR32" s="124"/>
      <c r="FS32" s="124"/>
      <c r="FU32" s="120"/>
      <c r="FV32" s="121"/>
      <c r="FW32" s="122"/>
      <c r="FX32" s="123"/>
      <c r="FY32" s="124"/>
      <c r="FZ32" s="124"/>
      <c r="GA32" s="124"/>
      <c r="GB32" s="124"/>
      <c r="GD32" s="120"/>
      <c r="GE32" s="121"/>
      <c r="GF32" s="122"/>
      <c r="GG32" s="123"/>
      <c r="GH32" s="124"/>
      <c r="GI32" s="124"/>
      <c r="GJ32" s="124"/>
      <c r="GK32" s="124"/>
      <c r="GM32" s="120"/>
      <c r="GN32" s="121"/>
      <c r="GO32" s="122"/>
    </row>
    <row r="33" spans="1:197" s="55" customFormat="1" ht="17" thickTop="1" thickBot="1" x14ac:dyDescent="0.25">
      <c r="A33" s="42" t="s">
        <v>225</v>
      </c>
      <c r="B33" s="106">
        <f t="shared" ref="B33:I33" si="14">SUM(B28:B32)</f>
        <v>0</v>
      </c>
      <c r="C33" s="106">
        <f t="shared" si="14"/>
        <v>0</v>
      </c>
      <c r="D33" s="106">
        <f t="shared" si="14"/>
        <v>0</v>
      </c>
      <c r="E33" s="125">
        <f t="shared" si="11"/>
        <v>0</v>
      </c>
      <c r="F33" s="107">
        <f t="shared" si="14"/>
        <v>0</v>
      </c>
      <c r="G33" s="107">
        <f t="shared" si="14"/>
        <v>0</v>
      </c>
      <c r="H33" s="107">
        <f t="shared" si="14"/>
        <v>0</v>
      </c>
      <c r="I33" s="107">
        <f t="shared" si="14"/>
        <v>0</v>
      </c>
      <c r="J33" s="107">
        <f t="shared" si="12"/>
        <v>0</v>
      </c>
      <c r="K33" s="34"/>
      <c r="L33" s="15"/>
      <c r="M33" s="87"/>
      <c r="O33" s="108"/>
      <c r="P33" s="108"/>
      <c r="Q33" s="108"/>
      <c r="R33" s="108"/>
      <c r="T33" s="87"/>
      <c r="U33" s="87"/>
      <c r="V33" s="87"/>
      <c r="X33" s="108"/>
      <c r="Y33" s="87"/>
      <c r="Z33" s="87"/>
      <c r="AB33" s="108"/>
      <c r="AC33" s="108"/>
      <c r="AD33" s="108"/>
      <c r="AE33" s="108"/>
      <c r="AG33" s="87"/>
      <c r="AH33" s="87"/>
      <c r="AI33" s="87"/>
      <c r="AK33" s="108"/>
      <c r="AL33" s="108"/>
      <c r="AM33" s="108"/>
      <c r="AN33" s="108"/>
      <c r="AP33" s="87"/>
      <c r="AQ33" s="87"/>
      <c r="AR33" s="87"/>
      <c r="AT33" s="108"/>
      <c r="AU33" s="108"/>
      <c r="AV33" s="108"/>
      <c r="AW33" s="108"/>
      <c r="AY33" s="87"/>
      <c r="AZ33" s="87"/>
      <c r="BA33" s="87"/>
      <c r="BC33" s="108"/>
      <c r="BD33" s="108"/>
      <c r="BE33" s="108"/>
      <c r="BF33" s="108"/>
      <c r="BH33" s="87"/>
      <c r="BI33" s="87"/>
      <c r="BJ33" s="87"/>
      <c r="BL33" s="108"/>
      <c r="BM33" s="108"/>
      <c r="BN33" s="108"/>
      <c r="BO33" s="108"/>
      <c r="BQ33" s="87"/>
      <c r="BR33" s="87"/>
      <c r="BS33" s="87"/>
      <c r="BU33" s="108"/>
      <c r="BV33" s="108"/>
      <c r="BW33" s="108"/>
      <c r="BX33" s="108"/>
      <c r="BZ33" s="87"/>
      <c r="CA33" s="87"/>
      <c r="CB33" s="87"/>
      <c r="CD33" s="108"/>
      <c r="CE33" s="108"/>
      <c r="CF33" s="108"/>
      <c r="CG33" s="108"/>
      <c r="CI33" s="87"/>
      <c r="CJ33" s="87"/>
      <c r="CK33" s="87"/>
      <c r="CM33" s="108"/>
      <c r="CN33" s="108"/>
      <c r="CO33" s="108"/>
      <c r="CP33" s="108"/>
      <c r="CR33" s="87"/>
      <c r="CS33" s="87"/>
      <c r="CT33" s="87"/>
      <c r="CV33" s="108"/>
      <c r="CW33" s="108"/>
      <c r="CX33" s="108"/>
      <c r="CY33" s="108"/>
      <c r="DA33" s="87"/>
      <c r="DB33" s="87"/>
      <c r="DC33" s="87"/>
      <c r="DE33" s="108"/>
      <c r="DF33" s="108"/>
      <c r="DG33" s="108"/>
      <c r="DH33" s="108"/>
      <c r="DJ33" s="87"/>
      <c r="DK33" s="87"/>
      <c r="DL33" s="87"/>
      <c r="DN33" s="108"/>
      <c r="DO33" s="108"/>
      <c r="DP33" s="108"/>
      <c r="DQ33" s="108"/>
      <c r="DS33" s="87"/>
      <c r="DT33" s="87"/>
      <c r="DU33" s="87"/>
      <c r="DW33" s="108"/>
      <c r="DX33" s="108"/>
      <c r="DY33" s="108"/>
      <c r="DZ33" s="108"/>
      <c r="EB33" s="87"/>
      <c r="EC33" s="87"/>
      <c r="ED33" s="87"/>
      <c r="EF33" s="108"/>
      <c r="EG33" s="108"/>
      <c r="EH33" s="108"/>
      <c r="EI33" s="108"/>
      <c r="EK33" s="87"/>
      <c r="EL33" s="87"/>
      <c r="EM33" s="87"/>
      <c r="EO33" s="108"/>
      <c r="EP33" s="108"/>
      <c r="EQ33" s="108"/>
      <c r="ER33" s="108"/>
      <c r="ET33" s="87"/>
      <c r="EU33" s="87"/>
      <c r="EV33" s="87"/>
      <c r="EX33" s="108"/>
      <c r="EY33" s="108"/>
      <c r="EZ33" s="108"/>
      <c r="FA33" s="108"/>
      <c r="FC33" s="87"/>
      <c r="FD33" s="87"/>
      <c r="FE33" s="87"/>
      <c r="FG33" s="108"/>
      <c r="FH33" s="108"/>
      <c r="FI33" s="108"/>
      <c r="FJ33" s="108"/>
      <c r="FL33" s="87"/>
      <c r="FM33" s="87"/>
      <c r="FN33" s="87"/>
      <c r="FP33" s="108"/>
      <c r="FQ33" s="108"/>
      <c r="FR33" s="108"/>
      <c r="FS33" s="108"/>
      <c r="FU33" s="87"/>
      <c r="FV33" s="87"/>
      <c r="FW33" s="87"/>
      <c r="FY33" s="108"/>
      <c r="FZ33" s="108"/>
      <c r="GA33" s="108"/>
      <c r="GB33" s="108"/>
      <c r="GD33" s="87"/>
      <c r="GE33" s="87"/>
      <c r="GF33" s="87"/>
      <c r="GH33" s="108"/>
      <c r="GI33" s="108"/>
      <c r="GJ33" s="108"/>
      <c r="GK33" s="108"/>
      <c r="GM33" s="87"/>
      <c r="GN33" s="87"/>
      <c r="GO33" s="87"/>
    </row>
    <row r="34" spans="1:197" s="55" customFormat="1" ht="16" thickTop="1" x14ac:dyDescent="0.2">
      <c r="A34" s="15"/>
      <c r="K34" s="15"/>
      <c r="L34" s="15"/>
    </row>
    <row r="35" spans="1:197" s="55" customFormat="1" x14ac:dyDescent="0.2">
      <c r="A35" s="30" t="s">
        <v>168</v>
      </c>
      <c r="B35" s="30" t="s">
        <v>38</v>
      </c>
      <c r="G35" s="84"/>
      <c r="H35" s="84"/>
      <c r="I35" s="84"/>
      <c r="J35" s="84"/>
      <c r="K35" s="15"/>
      <c r="L35" s="15"/>
    </row>
    <row r="36" spans="1:197" x14ac:dyDescent="0.2">
      <c r="A36" s="19"/>
      <c r="B36" s="5" t="s">
        <v>226</v>
      </c>
      <c r="C36" s="6" t="s">
        <v>79</v>
      </c>
      <c r="D36" s="6" t="s">
        <v>79</v>
      </c>
      <c r="E36" s="6" t="s">
        <v>227</v>
      </c>
      <c r="F36" s="6" t="s">
        <v>37</v>
      </c>
      <c r="G36" s="6" t="s">
        <v>37</v>
      </c>
      <c r="H36" s="6" t="s">
        <v>41</v>
      </c>
      <c r="I36" s="6" t="s">
        <v>216</v>
      </c>
      <c r="J36" s="6" t="s">
        <v>216</v>
      </c>
    </row>
    <row r="37" spans="1:197" x14ac:dyDescent="0.2">
      <c r="A37" s="19"/>
      <c r="B37" s="5"/>
      <c r="C37" s="6" t="s">
        <v>228</v>
      </c>
      <c r="D37" s="6" t="s">
        <v>112</v>
      </c>
      <c r="E37" s="6" t="s">
        <v>229</v>
      </c>
      <c r="F37" s="6" t="s">
        <v>230</v>
      </c>
      <c r="G37" s="6" t="s">
        <v>230</v>
      </c>
      <c r="H37" s="6" t="s">
        <v>231</v>
      </c>
      <c r="I37" s="6" t="s">
        <v>231</v>
      </c>
      <c r="J37" s="6" t="s">
        <v>219</v>
      </c>
    </row>
    <row r="38" spans="1:197" x14ac:dyDescent="0.2">
      <c r="A38" s="31" t="s">
        <v>51</v>
      </c>
      <c r="B38" s="7"/>
      <c r="C38" s="8"/>
      <c r="D38" s="8"/>
      <c r="E38" s="8"/>
      <c r="F38" s="8" t="s">
        <v>75</v>
      </c>
      <c r="G38" s="8" t="s">
        <v>220</v>
      </c>
      <c r="H38" s="8" t="s">
        <v>220</v>
      </c>
      <c r="I38" s="8" t="s">
        <v>220</v>
      </c>
      <c r="J38" s="8" t="s">
        <v>220</v>
      </c>
    </row>
    <row r="39" spans="1:197" s="55" customFormat="1" x14ac:dyDescent="0.2">
      <c r="A39" s="39" t="s">
        <v>233</v>
      </c>
      <c r="B39" s="104">
        <f>SUMIF('Invulblad WB'!$AD:$AD,$L39,'Invulblad WB'!$E:$E)</f>
        <v>0</v>
      </c>
      <c r="C39" s="109">
        <f>IF(B39=0,0,SUMIF('Invulblad WB'!$AD:$AD,$L39,'Invulblad WB'!$Y:$Y))</f>
        <v>0</v>
      </c>
      <c r="D39" s="110">
        <f>IF(B39=0,0,SUMIF('Invulblad WB'!$AD:$AD,$L39,'Invulblad WB'!$X:$X))</f>
        <v>0</v>
      </c>
      <c r="E39" s="111">
        <f>IF(B39=0,0,C39/D39)</f>
        <v>0</v>
      </c>
      <c r="F39" s="112">
        <f>IF(B39=0,0,SUMIF('Invulblad WB'!$AD:$AD,$L39,'Invulblad WB'!$AE:$AE))</f>
        <v>0</v>
      </c>
      <c r="G39" s="112">
        <f>IF(B39=0,0,F39/1.21)</f>
        <v>0</v>
      </c>
      <c r="H39" s="112">
        <f>IF(B39=0,0,SUMIF('Invulblad WB'!$AD:$AD,$L39,'Invulblad WB'!$AF:$AF))</f>
        <v>0</v>
      </c>
      <c r="I39" s="112">
        <f>IF(B39=0,0,SUMIF('Invulblad WB'!$AD:$AD,$L39,'Invulblad WB'!$AG:$AG))</f>
        <v>0</v>
      </c>
      <c r="J39" s="112">
        <f t="shared" ref="J39:J42" si="15">IF(D39=0,0,I39/D39)</f>
        <v>0</v>
      </c>
      <c r="K39" s="15"/>
      <c r="L39" s="15" t="str">
        <f>$A$35&amp;A39</f>
        <v>MeergezinsSociale huur (tot € 900,-)</v>
      </c>
    </row>
    <row r="40" spans="1:197" s="55" customFormat="1" x14ac:dyDescent="0.2">
      <c r="A40" s="40" t="s">
        <v>234</v>
      </c>
      <c r="B40" s="104">
        <f>SUMIF('Invulblad WB'!$AD:$AD,$L40,'Invulblad WB'!$E:$E)</f>
        <v>0</v>
      </c>
      <c r="C40" s="109">
        <f>IF(B40=0,0,SUMIF('Invulblad WB'!$AD:$AD,$L40,'Invulblad WB'!$Y:$Y))</f>
        <v>0</v>
      </c>
      <c r="D40" s="110">
        <f>IF(B40=0,0,SUMIF('Invulblad WB'!$AD:$AD,$L40,'Invulblad WB'!$X:$X))</f>
        <v>0</v>
      </c>
      <c r="E40" s="113">
        <f>IF(B40=0,0,C40/D40)</f>
        <v>0</v>
      </c>
      <c r="F40" s="112">
        <f>IF(B40=0,0,SUMIF('Invulblad WB'!$AD:$AD,$L40,'Invulblad WB'!$AE:$AE))</f>
        <v>0</v>
      </c>
      <c r="G40" s="114">
        <f>IF(B40=0,0,F40/1.21)</f>
        <v>0</v>
      </c>
      <c r="H40" s="112">
        <f>IF(B40=0,0,SUMIF('Invulblad WB'!$AD:$AD,$L40,'Invulblad WB'!$AF:$AF))</f>
        <v>0</v>
      </c>
      <c r="I40" s="112">
        <f>IF(B40=0,0,SUMIF('Invulblad WB'!$AD:$AD,$L40,'Invulblad WB'!$AG:$AG))</f>
        <v>0</v>
      </c>
      <c r="J40" s="112">
        <f t="shared" si="15"/>
        <v>0</v>
      </c>
      <c r="K40" s="15"/>
      <c r="L40" s="15" t="str">
        <f t="shared" ref="L40:L41" si="16">$A$35&amp;A40</f>
        <v>MeergezinsMiddenhuur (van € 900 tot € 1.184)</v>
      </c>
    </row>
    <row r="41" spans="1:197" s="55" customFormat="1" ht="16" thickBot="1" x14ac:dyDescent="0.25">
      <c r="A41" s="41" t="s">
        <v>235</v>
      </c>
      <c r="B41" s="115">
        <f>SUMIF('Invulblad WB'!$AD:$AD,$L41,'Invulblad WB'!$E:$E)</f>
        <v>0</v>
      </c>
      <c r="C41" s="116">
        <f>IF(B41=0,0,SUMIF('Invulblad WB'!$AD:$AD,$L41,'Invulblad WB'!$Y:$Y))</f>
        <v>0</v>
      </c>
      <c r="D41" s="117">
        <f>IF(B41=0,0,SUMIF('Invulblad WB'!$AD:$AD,$L41,'Invulblad WB'!$X:$X))</f>
        <v>0</v>
      </c>
      <c r="E41" s="118">
        <f>IF(B41=0,0,C41/D41)</f>
        <v>0</v>
      </c>
      <c r="F41" s="119">
        <f>IF(B41=0,0,SUMIF('Invulblad WB'!$AD:$AD,$L41,'Invulblad WB'!$AE:$AE))</f>
        <v>0</v>
      </c>
      <c r="G41" s="119">
        <f>IF(B41=0,0,F41/1.21)</f>
        <v>0</v>
      </c>
      <c r="H41" s="119">
        <f>IF(B41=0,0,SUMIF('Invulblad WB'!$AD:$AD,$L41,'Invulblad WB'!$AF:$AF))</f>
        <v>0</v>
      </c>
      <c r="I41" s="119">
        <f>IF(B41=0,0,SUMIF('Invulblad WB'!$AD:$AD,$L41,'Invulblad WB'!$AG:$AG))</f>
        <v>0</v>
      </c>
      <c r="J41" s="119">
        <f t="shared" si="15"/>
        <v>0</v>
      </c>
      <c r="K41" s="43"/>
      <c r="L41" s="15" t="str">
        <f t="shared" si="16"/>
        <v>MeergezinsDure huur (vanaf € 1.184)</v>
      </c>
      <c r="M41" s="122"/>
      <c r="N41" s="123"/>
      <c r="O41" s="124"/>
      <c r="P41" s="124"/>
      <c r="Q41" s="124"/>
      <c r="R41" s="124"/>
      <c r="T41" s="120"/>
      <c r="U41" s="121"/>
      <c r="V41" s="122"/>
      <c r="W41" s="123"/>
      <c r="X41" s="124"/>
      <c r="Y41" s="121"/>
      <c r="Z41" s="122"/>
      <c r="AA41" s="123"/>
      <c r="AB41" s="124"/>
      <c r="AC41" s="124"/>
      <c r="AD41" s="124"/>
      <c r="AE41" s="124"/>
      <c r="AG41" s="120"/>
      <c r="AH41" s="121"/>
      <c r="AI41" s="122"/>
      <c r="AJ41" s="123"/>
      <c r="AK41" s="124"/>
      <c r="AL41" s="124"/>
      <c r="AM41" s="124"/>
      <c r="AN41" s="124"/>
      <c r="AP41" s="120"/>
      <c r="AQ41" s="121"/>
      <c r="AR41" s="122"/>
      <c r="AS41" s="123"/>
      <c r="AT41" s="124"/>
      <c r="AU41" s="124"/>
      <c r="AV41" s="124"/>
      <c r="AW41" s="124"/>
      <c r="AY41" s="120"/>
      <c r="AZ41" s="121"/>
      <c r="BA41" s="122"/>
      <c r="BB41" s="123"/>
      <c r="BC41" s="124"/>
      <c r="BD41" s="124"/>
      <c r="BE41" s="124"/>
      <c r="BF41" s="124"/>
      <c r="BH41" s="120"/>
      <c r="BI41" s="121"/>
      <c r="BJ41" s="122"/>
      <c r="BK41" s="123"/>
      <c r="BL41" s="124"/>
      <c r="BM41" s="124"/>
      <c r="BN41" s="124"/>
      <c r="BO41" s="124"/>
      <c r="BQ41" s="120"/>
      <c r="BR41" s="121"/>
      <c r="BS41" s="122"/>
      <c r="BT41" s="123"/>
      <c r="BU41" s="124"/>
      <c r="BV41" s="124"/>
      <c r="BW41" s="124"/>
      <c r="BX41" s="124"/>
      <c r="BZ41" s="120"/>
      <c r="CA41" s="121"/>
      <c r="CB41" s="122"/>
      <c r="CC41" s="123"/>
      <c r="CD41" s="124"/>
      <c r="CE41" s="124"/>
      <c r="CF41" s="124"/>
      <c r="CG41" s="124"/>
      <c r="CI41" s="120"/>
      <c r="CJ41" s="121"/>
      <c r="CK41" s="122"/>
      <c r="CL41" s="123"/>
      <c r="CM41" s="124"/>
      <c r="CN41" s="124"/>
      <c r="CO41" s="124"/>
      <c r="CP41" s="124"/>
      <c r="CR41" s="120"/>
      <c r="CS41" s="121"/>
      <c r="CT41" s="122"/>
      <c r="CU41" s="123"/>
      <c r="CV41" s="124"/>
      <c r="CW41" s="124"/>
      <c r="CX41" s="124"/>
      <c r="CY41" s="124"/>
      <c r="DA41" s="120"/>
      <c r="DB41" s="121"/>
      <c r="DC41" s="122"/>
      <c r="DD41" s="123"/>
      <c r="DE41" s="124"/>
      <c r="DF41" s="124"/>
      <c r="DG41" s="124"/>
      <c r="DH41" s="124"/>
      <c r="DJ41" s="120"/>
      <c r="DK41" s="121"/>
      <c r="DL41" s="122"/>
      <c r="DM41" s="123"/>
      <c r="DN41" s="124"/>
      <c r="DO41" s="124"/>
      <c r="DP41" s="124"/>
      <c r="DQ41" s="124"/>
      <c r="DS41" s="120"/>
      <c r="DT41" s="121"/>
      <c r="DU41" s="122"/>
      <c r="DV41" s="123"/>
      <c r="DW41" s="124"/>
      <c r="DX41" s="124"/>
      <c r="DY41" s="124"/>
      <c r="DZ41" s="124"/>
      <c r="EB41" s="120"/>
      <c r="EC41" s="121"/>
      <c r="ED41" s="122"/>
      <c r="EE41" s="123"/>
      <c r="EF41" s="124"/>
      <c r="EG41" s="124"/>
      <c r="EH41" s="124"/>
      <c r="EI41" s="124"/>
      <c r="EK41" s="120"/>
      <c r="EL41" s="121"/>
      <c r="EM41" s="122"/>
      <c r="EN41" s="123"/>
      <c r="EO41" s="124"/>
      <c r="EP41" s="124"/>
      <c r="EQ41" s="124"/>
      <c r="ER41" s="124"/>
      <c r="ET41" s="120"/>
      <c r="EU41" s="121"/>
      <c r="EV41" s="122"/>
      <c r="EW41" s="123"/>
      <c r="EX41" s="124"/>
      <c r="EY41" s="124"/>
      <c r="EZ41" s="124"/>
      <c r="FA41" s="124"/>
      <c r="FC41" s="120"/>
      <c r="FD41" s="121"/>
      <c r="FE41" s="122"/>
      <c r="FF41" s="123"/>
      <c r="FG41" s="124"/>
      <c r="FH41" s="124"/>
      <c r="FI41" s="124"/>
      <c r="FJ41" s="124"/>
      <c r="FL41" s="120"/>
      <c r="FM41" s="121"/>
      <c r="FN41" s="122"/>
      <c r="FO41" s="123"/>
      <c r="FP41" s="124"/>
      <c r="FQ41" s="124"/>
      <c r="FR41" s="124"/>
      <c r="FS41" s="124"/>
      <c r="FU41" s="120"/>
      <c r="FV41" s="121"/>
      <c r="FW41" s="122"/>
      <c r="FX41" s="123"/>
      <c r="FY41" s="124"/>
      <c r="FZ41" s="124"/>
      <c r="GA41" s="124"/>
      <c r="GB41" s="124"/>
      <c r="GD41" s="120"/>
      <c r="GE41" s="121"/>
      <c r="GF41" s="122"/>
      <c r="GG41" s="123"/>
      <c r="GH41" s="124"/>
      <c r="GI41" s="124"/>
      <c r="GJ41" s="124"/>
      <c r="GK41" s="124"/>
      <c r="GM41" s="120"/>
      <c r="GN41" s="121"/>
      <c r="GO41" s="122"/>
    </row>
    <row r="42" spans="1:197" s="55" customFormat="1" ht="17" thickTop="1" thickBot="1" x14ac:dyDescent="0.25">
      <c r="A42" s="42" t="s">
        <v>225</v>
      </c>
      <c r="B42" s="106">
        <f t="shared" ref="B42:I42" si="17">SUM(B39:B41)</f>
        <v>0</v>
      </c>
      <c r="C42" s="106">
        <f t="shared" si="17"/>
        <v>0</v>
      </c>
      <c r="D42" s="106">
        <f t="shared" si="17"/>
        <v>0</v>
      </c>
      <c r="E42" s="125">
        <f>IF(B42=0,0,C42/D42)</f>
        <v>0</v>
      </c>
      <c r="F42" s="107">
        <f t="shared" si="17"/>
        <v>0</v>
      </c>
      <c r="G42" s="107">
        <f t="shared" si="17"/>
        <v>0</v>
      </c>
      <c r="H42" s="107">
        <f t="shared" si="17"/>
        <v>0</v>
      </c>
      <c r="I42" s="107">
        <f t="shared" si="17"/>
        <v>0</v>
      </c>
      <c r="J42" s="107">
        <f t="shared" si="15"/>
        <v>0</v>
      </c>
      <c r="K42" s="34"/>
      <c r="L42" s="15"/>
      <c r="M42" s="87"/>
      <c r="O42" s="108"/>
      <c r="P42" s="108"/>
      <c r="Q42" s="108"/>
      <c r="R42" s="108"/>
      <c r="T42" s="87"/>
      <c r="U42" s="87"/>
      <c r="V42" s="87"/>
      <c r="X42" s="108"/>
      <c r="Y42" s="87"/>
      <c r="Z42" s="87"/>
      <c r="AB42" s="108"/>
      <c r="AC42" s="108"/>
      <c r="AD42" s="108"/>
      <c r="AE42" s="108"/>
      <c r="AG42" s="87"/>
      <c r="AH42" s="87"/>
      <c r="AI42" s="87"/>
      <c r="AK42" s="108"/>
      <c r="AL42" s="108"/>
      <c r="AM42" s="108"/>
      <c r="AN42" s="108"/>
      <c r="AP42" s="87"/>
      <c r="AQ42" s="87"/>
      <c r="AR42" s="87"/>
      <c r="AT42" s="108"/>
      <c r="AU42" s="108"/>
      <c r="AV42" s="108"/>
      <c r="AW42" s="108"/>
      <c r="AY42" s="87"/>
      <c r="AZ42" s="87"/>
      <c r="BA42" s="87"/>
      <c r="BC42" s="108"/>
      <c r="BD42" s="108"/>
      <c r="BE42" s="108"/>
      <c r="BF42" s="108"/>
      <c r="BH42" s="87"/>
      <c r="BI42" s="87"/>
      <c r="BJ42" s="87"/>
      <c r="BL42" s="108"/>
      <c r="BM42" s="108"/>
      <c r="BN42" s="108"/>
      <c r="BO42" s="108"/>
      <c r="BQ42" s="87"/>
      <c r="BR42" s="87"/>
      <c r="BS42" s="87"/>
      <c r="BU42" s="108"/>
      <c r="BV42" s="108"/>
      <c r="BW42" s="108"/>
      <c r="BX42" s="108"/>
      <c r="BZ42" s="87"/>
      <c r="CA42" s="87"/>
      <c r="CB42" s="87"/>
      <c r="CD42" s="108"/>
      <c r="CE42" s="108"/>
      <c r="CF42" s="108"/>
      <c r="CG42" s="108"/>
      <c r="CI42" s="87"/>
      <c r="CJ42" s="87"/>
      <c r="CK42" s="87"/>
      <c r="CM42" s="108"/>
      <c r="CN42" s="108"/>
      <c r="CO42" s="108"/>
      <c r="CP42" s="108"/>
      <c r="CR42" s="87"/>
      <c r="CS42" s="87"/>
      <c r="CT42" s="87"/>
      <c r="CV42" s="108"/>
      <c r="CW42" s="108"/>
      <c r="CX42" s="108"/>
      <c r="CY42" s="108"/>
      <c r="DA42" s="87"/>
      <c r="DB42" s="87"/>
      <c r="DC42" s="87"/>
      <c r="DE42" s="108"/>
      <c r="DF42" s="108"/>
      <c r="DG42" s="108"/>
      <c r="DH42" s="108"/>
      <c r="DJ42" s="87"/>
      <c r="DK42" s="87"/>
      <c r="DL42" s="87"/>
      <c r="DN42" s="108"/>
      <c r="DO42" s="108"/>
      <c r="DP42" s="108"/>
      <c r="DQ42" s="108"/>
      <c r="DS42" s="87"/>
      <c r="DT42" s="87"/>
      <c r="DU42" s="87"/>
      <c r="DW42" s="108"/>
      <c r="DX42" s="108"/>
      <c r="DY42" s="108"/>
      <c r="DZ42" s="108"/>
      <c r="EB42" s="87"/>
      <c r="EC42" s="87"/>
      <c r="ED42" s="87"/>
      <c r="EF42" s="108"/>
      <c r="EG42" s="108"/>
      <c r="EH42" s="108"/>
      <c r="EI42" s="108"/>
      <c r="EK42" s="87"/>
      <c r="EL42" s="87"/>
      <c r="EM42" s="87"/>
      <c r="EO42" s="108"/>
      <c r="EP42" s="108"/>
      <c r="EQ42" s="108"/>
      <c r="ER42" s="108"/>
      <c r="ET42" s="87"/>
      <c r="EU42" s="87"/>
      <c r="EV42" s="87"/>
      <c r="EX42" s="108"/>
      <c r="EY42" s="108"/>
      <c r="EZ42" s="108"/>
      <c r="FA42" s="108"/>
      <c r="FC42" s="87"/>
      <c r="FD42" s="87"/>
      <c r="FE42" s="87"/>
      <c r="FG42" s="108"/>
      <c r="FH42" s="108"/>
      <c r="FI42" s="108"/>
      <c r="FJ42" s="108"/>
      <c r="FL42" s="87"/>
      <c r="FM42" s="87"/>
      <c r="FN42" s="87"/>
      <c r="FP42" s="108"/>
      <c r="FQ42" s="108"/>
      <c r="FR42" s="108"/>
      <c r="FS42" s="108"/>
      <c r="FU42" s="87"/>
      <c r="FV42" s="87"/>
      <c r="FW42" s="87"/>
      <c r="FY42" s="108"/>
      <c r="FZ42" s="108"/>
      <c r="GA42" s="108"/>
      <c r="GB42" s="108"/>
      <c r="GD42" s="87"/>
      <c r="GE42" s="87"/>
      <c r="GF42" s="87"/>
      <c r="GH42" s="108"/>
      <c r="GI42" s="108"/>
      <c r="GJ42" s="108"/>
      <c r="GK42" s="108"/>
      <c r="GM42" s="87"/>
      <c r="GN42" s="87"/>
      <c r="GO42" s="87"/>
    </row>
    <row r="43" spans="1:197" s="55" customFormat="1" ht="16" thickTop="1" x14ac:dyDescent="0.2">
      <c r="A43" s="30"/>
      <c r="B43" s="85"/>
      <c r="G43" s="90"/>
      <c r="H43" s="90"/>
      <c r="I43" s="90"/>
      <c r="J43" s="90"/>
      <c r="K43" s="15"/>
      <c r="L43" s="15"/>
    </row>
    <row r="44" spans="1:197" s="55" customFormat="1" x14ac:dyDescent="0.2">
      <c r="A44" s="30" t="s">
        <v>168</v>
      </c>
      <c r="B44" s="30" t="s">
        <v>80</v>
      </c>
      <c r="C44" s="88"/>
      <c r="D44" s="88"/>
      <c r="E44" s="89"/>
      <c r="F44" s="90"/>
      <c r="G44" s="90"/>
      <c r="H44" s="90"/>
      <c r="I44" s="90"/>
      <c r="J44" s="90"/>
      <c r="K44" s="15"/>
      <c r="L44" s="15"/>
    </row>
    <row r="45" spans="1:197" x14ac:dyDescent="0.2">
      <c r="A45" s="19"/>
      <c r="B45" s="5" t="s">
        <v>226</v>
      </c>
      <c r="C45" s="6" t="s">
        <v>79</v>
      </c>
      <c r="D45" s="6" t="s">
        <v>79</v>
      </c>
      <c r="E45" s="6" t="s">
        <v>227</v>
      </c>
      <c r="F45" s="6" t="s">
        <v>37</v>
      </c>
      <c r="G45" s="6" t="s">
        <v>37</v>
      </c>
      <c r="H45" s="6" t="s">
        <v>41</v>
      </c>
      <c r="I45" s="6" t="s">
        <v>216</v>
      </c>
      <c r="J45" s="6" t="s">
        <v>216</v>
      </c>
    </row>
    <row r="46" spans="1:197" x14ac:dyDescent="0.2">
      <c r="A46" s="19"/>
      <c r="B46" s="5"/>
      <c r="C46" s="6" t="s">
        <v>228</v>
      </c>
      <c r="D46" s="6" t="s">
        <v>112</v>
      </c>
      <c r="E46" s="6" t="s">
        <v>229</v>
      </c>
      <c r="F46" s="6" t="s">
        <v>230</v>
      </c>
      <c r="G46" s="6" t="s">
        <v>230</v>
      </c>
      <c r="H46" s="6" t="s">
        <v>231</v>
      </c>
      <c r="I46" s="6" t="s">
        <v>231</v>
      </c>
      <c r="J46" s="6" t="s">
        <v>219</v>
      </c>
    </row>
    <row r="47" spans="1:197" x14ac:dyDescent="0.2">
      <c r="A47" s="31" t="s">
        <v>51</v>
      </c>
      <c r="B47" s="7"/>
      <c r="C47" s="8"/>
      <c r="D47" s="8"/>
      <c r="E47" s="8"/>
      <c r="F47" s="8" t="s">
        <v>75</v>
      </c>
      <c r="G47" s="8" t="s">
        <v>220</v>
      </c>
      <c r="H47" s="8" t="s">
        <v>220</v>
      </c>
      <c r="I47" s="8" t="s">
        <v>220</v>
      </c>
      <c r="J47" s="8" t="s">
        <v>220</v>
      </c>
    </row>
    <row r="48" spans="1:197" s="55" customFormat="1" x14ac:dyDescent="0.2">
      <c r="A48" s="39" t="s">
        <v>236</v>
      </c>
      <c r="B48" s="104">
        <f>SUMIF('Invulblad WB'!$AD:$AD,$L48,'Invulblad WB'!$E:$E)</f>
        <v>0</v>
      </c>
      <c r="C48" s="109">
        <f>IF(B48=0,0,SUMIF('Invulblad WB'!$AD:$AD,$L48,'Invulblad WB'!$Y:$Y))</f>
        <v>0</v>
      </c>
      <c r="D48" s="110">
        <f>IF(B48=0,0,SUMIF('Invulblad WB'!$AD:$AD,$L48,'Invulblad WB'!$X:$X))</f>
        <v>0</v>
      </c>
      <c r="E48" s="111">
        <f t="shared" ref="E48:E53" si="18">IF(B48=0,0,C48/D48)</f>
        <v>0</v>
      </c>
      <c r="F48" s="112">
        <f>IF(B48=0,0,SUMIF('Invulblad WB'!$AD:$AD,$L48,'Invulblad WB'!$AE:$AE))</f>
        <v>0</v>
      </c>
      <c r="G48" s="112">
        <f>IF(B48=0,0,F48/1.21)</f>
        <v>0</v>
      </c>
      <c r="H48" s="112">
        <f>IF(B48=0,0,SUMIF('Invulblad WB'!$AD:$AD,$L48,'Invulblad WB'!$AF:$AF))</f>
        <v>0</v>
      </c>
      <c r="I48" s="112">
        <f>IF(B48=0,0,SUMIF('Invulblad WB'!$AD:$AD,$L48,'Invulblad WB'!$AG:$AG))</f>
        <v>0</v>
      </c>
      <c r="J48" s="112">
        <f t="shared" ref="J48:J53" si="19">IF(D48=0,0,I48/D48)</f>
        <v>0</v>
      </c>
      <c r="K48" s="15"/>
      <c r="L48" s="15" t="str">
        <f>$A$35&amp;A48</f>
        <v>MeergezinsSociale koop (tot € 240.000)</v>
      </c>
    </row>
    <row r="49" spans="1:197" s="55" customFormat="1" x14ac:dyDescent="0.2">
      <c r="A49" s="40" t="s">
        <v>237</v>
      </c>
      <c r="B49" s="104">
        <f>SUMIF('Invulblad WB'!$AD:$AD,$L49,'Invulblad WB'!$E:$E)</f>
        <v>0</v>
      </c>
      <c r="C49" s="109">
        <f>IF(B49=0,0,SUMIF('Invulblad WB'!$AD:$AD,$L49,'Invulblad WB'!$Y:$Y))</f>
        <v>0</v>
      </c>
      <c r="D49" s="110">
        <f>IF(B49=0,0,SUMIF('Invulblad WB'!$AD:$AD,$L49,'Invulblad WB'!$X:$X))</f>
        <v>0</v>
      </c>
      <c r="E49" s="113">
        <f t="shared" si="18"/>
        <v>0</v>
      </c>
      <c r="F49" s="112">
        <f>IF(B49=0,0,SUMIF('Invulblad WB'!$AD:$AD,$L49,'Invulblad WB'!$AE:$AE))</f>
        <v>0</v>
      </c>
      <c r="G49" s="114">
        <f>IF(B49=0,0,F49/1.21)</f>
        <v>0</v>
      </c>
      <c r="H49" s="112">
        <f>IF(B49=0,0,SUMIF('Invulblad WB'!$AD:$AD,$L49,'Invulblad WB'!$AF:$AF))</f>
        <v>0</v>
      </c>
      <c r="I49" s="112">
        <f>IF(B49=0,0,SUMIF('Invulblad WB'!$AD:$AD,$L49,'Invulblad WB'!$AG:$AG))</f>
        <v>0</v>
      </c>
      <c r="J49" s="112">
        <f t="shared" si="19"/>
        <v>0</v>
      </c>
      <c r="K49" s="15"/>
      <c r="L49" s="15" t="str">
        <f t="shared" ref="L49:L52" si="20">$A$35&amp;A49</f>
        <v>MeergezinsLage middeldure koop (van € 240.000 tot € 285.000)</v>
      </c>
    </row>
    <row r="50" spans="1:197" s="55" customFormat="1" x14ac:dyDescent="0.2">
      <c r="A50" s="39" t="s">
        <v>238</v>
      </c>
      <c r="B50" s="104">
        <f>SUMIF('Invulblad WB'!$AD:$AD,$L50,'Invulblad WB'!$E:$E)</f>
        <v>0</v>
      </c>
      <c r="C50" s="109">
        <f>IF(B50=0,0,SUMIF('Invulblad WB'!$AD:$AD,$L50,'Invulblad WB'!$Y:$Y))</f>
        <v>0</v>
      </c>
      <c r="D50" s="110">
        <f>IF(B50=0,0,SUMIF('Invulblad WB'!$AD:$AD,$L50,'Invulblad WB'!$X:$X))</f>
        <v>0</v>
      </c>
      <c r="E50" s="111">
        <f t="shared" si="18"/>
        <v>0</v>
      </c>
      <c r="F50" s="112">
        <f>IF(B50=0,0,SUMIF('Invulblad WB'!$AD:$AD,$L50,'Invulblad WB'!$AE:$AE))</f>
        <v>0</v>
      </c>
      <c r="G50" s="112">
        <f>IF(B50=0,0,F50/1.21)</f>
        <v>0</v>
      </c>
      <c r="H50" s="112">
        <f>IF(B50=0,0,SUMIF('Invulblad WB'!$AD:$AD,$L50,'Invulblad WB'!$AF:$AF))</f>
        <v>0</v>
      </c>
      <c r="I50" s="112">
        <f>IF(B50=0,0,SUMIF('Invulblad WB'!$AD:$AD,$L50,'Invulblad WB'!$AG:$AG))</f>
        <v>0</v>
      </c>
      <c r="J50" s="112">
        <f t="shared" si="19"/>
        <v>0</v>
      </c>
      <c r="K50" s="15"/>
      <c r="L50" s="15" t="str">
        <f t="shared" si="20"/>
        <v>MeergezinsMidden middeldure koop (van € 285.000 tot € 330.000)</v>
      </c>
    </row>
    <row r="51" spans="1:197" s="55" customFormat="1" x14ac:dyDescent="0.2">
      <c r="A51" s="39" t="s">
        <v>239</v>
      </c>
      <c r="B51" s="104">
        <f>SUMIF('Invulblad WB'!$AD:$AD,$L51,'Invulblad WB'!$E:$E)</f>
        <v>0</v>
      </c>
      <c r="C51" s="109">
        <f>IF(B51=0,0,SUMIF('Invulblad WB'!$AD:$AD,$L51,'Invulblad WB'!$Y:$Y))</f>
        <v>0</v>
      </c>
      <c r="D51" s="110">
        <f>IF(B51=0,0,SUMIF('Invulblad WB'!$AD:$AD,$L51,'Invulblad WB'!$X:$X))</f>
        <v>0</v>
      </c>
      <c r="E51" s="111">
        <f t="shared" si="18"/>
        <v>0</v>
      </c>
      <c r="F51" s="112">
        <f>IF(B51=0,0,SUMIF('Invulblad WB'!$AD:$AD,$L51,'Invulblad WB'!$AE:$AE))</f>
        <v>0</v>
      </c>
      <c r="G51" s="112">
        <f>IF(B51=0,0,F51/1.21)</f>
        <v>0</v>
      </c>
      <c r="H51" s="112">
        <f>IF(B51=0,0,SUMIF('Invulblad WB'!$AD:$AD,$L51,'Invulblad WB'!$AF:$AF))</f>
        <v>0</v>
      </c>
      <c r="I51" s="112">
        <f>IF(B51=0,0,SUMIF('Invulblad WB'!$AD:$AD,$L51,'Invulblad WB'!$AG:$AG))</f>
        <v>0</v>
      </c>
      <c r="J51" s="112">
        <f t="shared" si="19"/>
        <v>0</v>
      </c>
      <c r="K51" s="15"/>
      <c r="L51" s="15" t="str">
        <f t="shared" si="20"/>
        <v>MeergezinsHoge middeldure koop (van € 330.000 tot € 405.000)</v>
      </c>
    </row>
    <row r="52" spans="1:197" s="55" customFormat="1" ht="16" thickBot="1" x14ac:dyDescent="0.25">
      <c r="A52" s="41" t="s">
        <v>240</v>
      </c>
      <c r="B52" s="115">
        <f>SUMIF('Invulblad WB'!$AD:$AD,$L52,'Invulblad WB'!$E:$E)</f>
        <v>0</v>
      </c>
      <c r="C52" s="116">
        <f>IF(B52=0,0,SUMIF('Invulblad WB'!$AD:$AD,$L52,'Invulblad WB'!$Y:$Y))</f>
        <v>0</v>
      </c>
      <c r="D52" s="117">
        <f>IF(B52=0,0,SUMIF('Invulblad WB'!$AD:$AD,$L52,'Invulblad WB'!$X:$X))</f>
        <v>0</v>
      </c>
      <c r="E52" s="118">
        <f t="shared" si="18"/>
        <v>0</v>
      </c>
      <c r="F52" s="119">
        <f>IF(B52=0,0,SUMIF('Invulblad WB'!$AD:$AD,$L52,'Invulblad WB'!$AE:$AE))</f>
        <v>0</v>
      </c>
      <c r="G52" s="119">
        <f>IF(B52=0,0,F52/1.21)</f>
        <v>0</v>
      </c>
      <c r="H52" s="119">
        <f>IF(B52=0,0,SUMIF('Invulblad WB'!$AD:$AD,$L52,'Invulblad WB'!$AF:$AF))</f>
        <v>0</v>
      </c>
      <c r="I52" s="119">
        <f>IF(B52=0,0,SUMIF('Invulblad WB'!$AD:$AD,$L52,'Invulblad WB'!$AG:$AG))</f>
        <v>0</v>
      </c>
      <c r="J52" s="119">
        <f t="shared" si="19"/>
        <v>0</v>
      </c>
      <c r="K52" s="43"/>
      <c r="L52" s="15" t="str">
        <f t="shared" si="20"/>
        <v>MeergezinsDure koop (vanaf € 405.000)</v>
      </c>
      <c r="M52" s="122"/>
      <c r="N52" s="123"/>
      <c r="O52" s="124"/>
      <c r="P52" s="124"/>
      <c r="Q52" s="124"/>
      <c r="R52" s="124"/>
      <c r="T52" s="120"/>
      <c r="U52" s="121"/>
      <c r="V52" s="122"/>
      <c r="W52" s="123"/>
      <c r="X52" s="124"/>
      <c r="Y52" s="121"/>
      <c r="Z52" s="122"/>
      <c r="AA52" s="123"/>
      <c r="AB52" s="124"/>
      <c r="AC52" s="124"/>
      <c r="AD52" s="124"/>
      <c r="AE52" s="124"/>
      <c r="AG52" s="120"/>
      <c r="AH52" s="121"/>
      <c r="AI52" s="122"/>
      <c r="AJ52" s="123"/>
      <c r="AK52" s="124"/>
      <c r="AL52" s="124"/>
      <c r="AM52" s="124"/>
      <c r="AN52" s="124"/>
      <c r="AP52" s="120"/>
      <c r="AQ52" s="121"/>
      <c r="AR52" s="122"/>
      <c r="AS52" s="123"/>
      <c r="AT52" s="124"/>
      <c r="AU52" s="124"/>
      <c r="AV52" s="124"/>
      <c r="AW52" s="124"/>
      <c r="AY52" s="120"/>
      <c r="AZ52" s="121"/>
      <c r="BA52" s="122"/>
      <c r="BB52" s="123"/>
      <c r="BC52" s="124"/>
      <c r="BD52" s="124"/>
      <c r="BE52" s="124"/>
      <c r="BF52" s="124"/>
      <c r="BH52" s="120"/>
      <c r="BI52" s="121"/>
      <c r="BJ52" s="122"/>
      <c r="BK52" s="123"/>
      <c r="BL52" s="124"/>
      <c r="BM52" s="124"/>
      <c r="BN52" s="124"/>
      <c r="BO52" s="124"/>
      <c r="BQ52" s="120"/>
      <c r="BR52" s="121"/>
      <c r="BS52" s="122"/>
      <c r="BT52" s="123"/>
      <c r="BU52" s="124"/>
      <c r="BV52" s="124"/>
      <c r="BW52" s="124"/>
      <c r="BX52" s="124"/>
      <c r="BZ52" s="120"/>
      <c r="CA52" s="121"/>
      <c r="CB52" s="122"/>
      <c r="CC52" s="123"/>
      <c r="CD52" s="124"/>
      <c r="CE52" s="124"/>
      <c r="CF52" s="124"/>
      <c r="CG52" s="124"/>
      <c r="CI52" s="120"/>
      <c r="CJ52" s="121"/>
      <c r="CK52" s="122"/>
      <c r="CL52" s="123"/>
      <c r="CM52" s="124"/>
      <c r="CN52" s="124"/>
      <c r="CO52" s="124"/>
      <c r="CP52" s="124"/>
      <c r="CR52" s="120"/>
      <c r="CS52" s="121"/>
      <c r="CT52" s="122"/>
      <c r="CU52" s="123"/>
      <c r="CV52" s="124"/>
      <c r="CW52" s="124"/>
      <c r="CX52" s="124"/>
      <c r="CY52" s="124"/>
      <c r="DA52" s="120"/>
      <c r="DB52" s="121"/>
      <c r="DC52" s="122"/>
      <c r="DD52" s="123"/>
      <c r="DE52" s="124"/>
      <c r="DF52" s="124"/>
      <c r="DG52" s="124"/>
      <c r="DH52" s="124"/>
      <c r="DJ52" s="120"/>
      <c r="DK52" s="121"/>
      <c r="DL52" s="122"/>
      <c r="DM52" s="123"/>
      <c r="DN52" s="124"/>
      <c r="DO52" s="124"/>
      <c r="DP52" s="124"/>
      <c r="DQ52" s="124"/>
      <c r="DS52" s="120"/>
      <c r="DT52" s="121"/>
      <c r="DU52" s="122"/>
      <c r="DV52" s="123"/>
      <c r="DW52" s="124"/>
      <c r="DX52" s="124"/>
      <c r="DY52" s="124"/>
      <c r="DZ52" s="124"/>
      <c r="EB52" s="120"/>
      <c r="EC52" s="121"/>
      <c r="ED52" s="122"/>
      <c r="EE52" s="123"/>
      <c r="EF52" s="124"/>
      <c r="EG52" s="124"/>
      <c r="EH52" s="124"/>
      <c r="EI52" s="124"/>
      <c r="EK52" s="120"/>
      <c r="EL52" s="121"/>
      <c r="EM52" s="122"/>
      <c r="EN52" s="123"/>
      <c r="EO52" s="124"/>
      <c r="EP52" s="124"/>
      <c r="EQ52" s="124"/>
      <c r="ER52" s="124"/>
      <c r="ET52" s="120"/>
      <c r="EU52" s="121"/>
      <c r="EV52" s="122"/>
      <c r="EW52" s="123"/>
      <c r="EX52" s="124"/>
      <c r="EY52" s="124"/>
      <c r="EZ52" s="124"/>
      <c r="FA52" s="124"/>
      <c r="FC52" s="120"/>
      <c r="FD52" s="121"/>
      <c r="FE52" s="122"/>
      <c r="FF52" s="123"/>
      <c r="FG52" s="124"/>
      <c r="FH52" s="124"/>
      <c r="FI52" s="124"/>
      <c r="FJ52" s="124"/>
      <c r="FL52" s="120"/>
      <c r="FM52" s="121"/>
      <c r="FN52" s="122"/>
      <c r="FO52" s="123"/>
      <c r="FP52" s="124"/>
      <c r="FQ52" s="124"/>
      <c r="FR52" s="124"/>
      <c r="FS52" s="124"/>
      <c r="FU52" s="120"/>
      <c r="FV52" s="121"/>
      <c r="FW52" s="122"/>
      <c r="FX52" s="123"/>
      <c r="FY52" s="124"/>
      <c r="FZ52" s="124"/>
      <c r="GA52" s="124"/>
      <c r="GB52" s="124"/>
      <c r="GD52" s="120"/>
      <c r="GE52" s="121"/>
      <c r="GF52" s="122"/>
      <c r="GG52" s="123"/>
      <c r="GH52" s="124"/>
      <c r="GI52" s="124"/>
      <c r="GJ52" s="124"/>
      <c r="GK52" s="124"/>
      <c r="GM52" s="120"/>
      <c r="GN52" s="121"/>
      <c r="GO52" s="122"/>
    </row>
    <row r="53" spans="1:197" s="55" customFormat="1" ht="17" thickTop="1" thickBot="1" x14ac:dyDescent="0.25">
      <c r="A53" s="42" t="s">
        <v>225</v>
      </c>
      <c r="B53" s="106">
        <f t="shared" ref="B53:I53" si="21">SUM(B48:B52)</f>
        <v>0</v>
      </c>
      <c r="C53" s="106">
        <f t="shared" si="21"/>
        <v>0</v>
      </c>
      <c r="D53" s="106">
        <f t="shared" si="21"/>
        <v>0</v>
      </c>
      <c r="E53" s="125">
        <f t="shared" si="18"/>
        <v>0</v>
      </c>
      <c r="F53" s="107">
        <f t="shared" si="21"/>
        <v>0</v>
      </c>
      <c r="G53" s="107">
        <f t="shared" si="21"/>
        <v>0</v>
      </c>
      <c r="H53" s="107">
        <f t="shared" si="21"/>
        <v>0</v>
      </c>
      <c r="I53" s="107">
        <f t="shared" si="21"/>
        <v>0</v>
      </c>
      <c r="J53" s="107">
        <f t="shared" si="19"/>
        <v>0</v>
      </c>
      <c r="K53" s="34"/>
      <c r="L53" s="15"/>
      <c r="M53" s="87"/>
      <c r="O53" s="108"/>
      <c r="P53" s="108"/>
      <c r="Q53" s="108"/>
      <c r="R53" s="108"/>
      <c r="T53" s="87"/>
      <c r="U53" s="87"/>
      <c r="V53" s="87"/>
      <c r="X53" s="108"/>
      <c r="Y53" s="87"/>
      <c r="Z53" s="87"/>
      <c r="AB53" s="108"/>
      <c r="AC53" s="108"/>
      <c r="AD53" s="108"/>
      <c r="AE53" s="108"/>
      <c r="AG53" s="87"/>
      <c r="AH53" s="87"/>
      <c r="AI53" s="87"/>
      <c r="AK53" s="108"/>
      <c r="AL53" s="108"/>
      <c r="AM53" s="108"/>
      <c r="AN53" s="108"/>
      <c r="AP53" s="87"/>
      <c r="AQ53" s="87"/>
      <c r="AR53" s="87"/>
      <c r="AT53" s="108"/>
      <c r="AU53" s="108"/>
      <c r="AV53" s="108"/>
      <c r="AW53" s="108"/>
      <c r="AY53" s="87"/>
      <c r="AZ53" s="87"/>
      <c r="BA53" s="87"/>
      <c r="BC53" s="108"/>
      <c r="BD53" s="108"/>
      <c r="BE53" s="108"/>
      <c r="BF53" s="108"/>
      <c r="BH53" s="87"/>
      <c r="BI53" s="87"/>
      <c r="BJ53" s="87"/>
      <c r="BL53" s="108"/>
      <c r="BM53" s="108"/>
      <c r="BN53" s="108"/>
      <c r="BO53" s="108"/>
      <c r="BQ53" s="87"/>
      <c r="BR53" s="87"/>
      <c r="BS53" s="87"/>
      <c r="BU53" s="108"/>
      <c r="BV53" s="108"/>
      <c r="BW53" s="108"/>
      <c r="BX53" s="108"/>
      <c r="BZ53" s="87"/>
      <c r="CA53" s="87"/>
      <c r="CB53" s="87"/>
      <c r="CD53" s="108"/>
      <c r="CE53" s="108"/>
      <c r="CF53" s="108"/>
      <c r="CG53" s="108"/>
      <c r="CI53" s="87"/>
      <c r="CJ53" s="87"/>
      <c r="CK53" s="87"/>
      <c r="CM53" s="108"/>
      <c r="CN53" s="108"/>
      <c r="CO53" s="108"/>
      <c r="CP53" s="108"/>
      <c r="CR53" s="87"/>
      <c r="CS53" s="87"/>
      <c r="CT53" s="87"/>
      <c r="CV53" s="108"/>
      <c r="CW53" s="108"/>
      <c r="CX53" s="108"/>
      <c r="CY53" s="108"/>
      <c r="DA53" s="87"/>
      <c r="DB53" s="87"/>
      <c r="DC53" s="87"/>
      <c r="DE53" s="108"/>
      <c r="DF53" s="108"/>
      <c r="DG53" s="108"/>
      <c r="DH53" s="108"/>
      <c r="DJ53" s="87"/>
      <c r="DK53" s="87"/>
      <c r="DL53" s="87"/>
      <c r="DN53" s="108"/>
      <c r="DO53" s="108"/>
      <c r="DP53" s="108"/>
      <c r="DQ53" s="108"/>
      <c r="DS53" s="87"/>
      <c r="DT53" s="87"/>
      <c r="DU53" s="87"/>
      <c r="DW53" s="108"/>
      <c r="DX53" s="108"/>
      <c r="DY53" s="108"/>
      <c r="DZ53" s="108"/>
      <c r="EB53" s="87"/>
      <c r="EC53" s="87"/>
      <c r="ED53" s="87"/>
      <c r="EF53" s="108"/>
      <c r="EG53" s="108"/>
      <c r="EH53" s="108"/>
      <c r="EI53" s="108"/>
      <c r="EK53" s="87"/>
      <c r="EL53" s="87"/>
      <c r="EM53" s="87"/>
      <c r="EO53" s="108"/>
      <c r="EP53" s="108"/>
      <c r="EQ53" s="108"/>
      <c r="ER53" s="108"/>
      <c r="ET53" s="87"/>
      <c r="EU53" s="87"/>
      <c r="EV53" s="87"/>
      <c r="EX53" s="108"/>
      <c r="EY53" s="108"/>
      <c r="EZ53" s="108"/>
      <c r="FA53" s="108"/>
      <c r="FC53" s="87"/>
      <c r="FD53" s="87"/>
      <c r="FE53" s="87"/>
      <c r="FG53" s="108"/>
      <c r="FH53" s="108"/>
      <c r="FI53" s="108"/>
      <c r="FJ53" s="108"/>
      <c r="FL53" s="87"/>
      <c r="FM53" s="87"/>
      <c r="FN53" s="87"/>
      <c r="FP53" s="108"/>
      <c r="FQ53" s="108"/>
      <c r="FR53" s="108"/>
      <c r="FS53" s="108"/>
      <c r="FU53" s="87"/>
      <c r="FV53" s="87"/>
      <c r="FW53" s="87"/>
      <c r="FY53" s="108"/>
      <c r="FZ53" s="108"/>
      <c r="GA53" s="108"/>
      <c r="GB53" s="108"/>
      <c r="GD53" s="87"/>
      <c r="GE53" s="87"/>
      <c r="GF53" s="87"/>
      <c r="GH53" s="108"/>
      <c r="GI53" s="108"/>
      <c r="GJ53" s="108"/>
      <c r="GK53" s="108"/>
      <c r="GM53" s="87"/>
      <c r="GN53" s="87"/>
      <c r="GO53" s="87"/>
    </row>
    <row r="54" spans="1:197" s="55" customFormat="1" ht="16" thickTop="1" x14ac:dyDescent="0.2">
      <c r="A54" s="15"/>
      <c r="B54" s="92"/>
      <c r="C54" s="91"/>
      <c r="K54" s="15"/>
      <c r="L54" s="15"/>
    </row>
    <row r="55" spans="1:197" s="55" customFormat="1" x14ac:dyDescent="0.2">
      <c r="A55" s="15"/>
      <c r="B55" s="92"/>
      <c r="K55" s="15"/>
      <c r="L55" s="15"/>
    </row>
    <row r="56" spans="1:197" s="56" customFormat="1" x14ac:dyDescent="0.2">
      <c r="A56" s="19" t="s">
        <v>241</v>
      </c>
      <c r="B56" s="5"/>
      <c r="C56" s="6" t="s">
        <v>198</v>
      </c>
      <c r="D56" s="6" t="s">
        <v>171</v>
      </c>
      <c r="E56" s="6" t="s">
        <v>227</v>
      </c>
      <c r="F56" s="6" t="s">
        <v>242</v>
      </c>
      <c r="G56" s="6" t="s">
        <v>242</v>
      </c>
      <c r="H56" s="6" t="s">
        <v>41</v>
      </c>
      <c r="I56" s="6" t="s">
        <v>216</v>
      </c>
      <c r="J56" s="6" t="s">
        <v>216</v>
      </c>
      <c r="K56" s="30"/>
      <c r="L56" s="1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197" s="56" customFormat="1" x14ac:dyDescent="0.2">
      <c r="A57" s="19"/>
      <c r="B57" s="5"/>
      <c r="C57" s="6"/>
      <c r="D57" s="6"/>
      <c r="E57" s="6" t="s">
        <v>229</v>
      </c>
      <c r="F57" s="6" t="s">
        <v>75</v>
      </c>
      <c r="G57" s="6" t="s">
        <v>220</v>
      </c>
      <c r="H57" s="6" t="s">
        <v>220</v>
      </c>
      <c r="I57" s="6" t="s">
        <v>220</v>
      </c>
      <c r="J57" s="6" t="s">
        <v>219</v>
      </c>
      <c r="K57" s="30"/>
      <c r="L57" s="1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</row>
    <row r="58" spans="1:197" s="56" customFormat="1" x14ac:dyDescent="0.2">
      <c r="A58" s="20"/>
      <c r="B58" s="7"/>
      <c r="C58" s="8"/>
      <c r="D58" s="8"/>
      <c r="E58" s="8"/>
      <c r="F58" s="8"/>
      <c r="G58" s="8"/>
      <c r="H58" s="8"/>
      <c r="I58" s="8"/>
      <c r="J58" s="8" t="s">
        <v>220</v>
      </c>
      <c r="K58" s="30"/>
      <c r="L58" s="1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</row>
    <row r="59" spans="1:197" s="55" customFormat="1" x14ac:dyDescent="0.2">
      <c r="A59" s="39" t="str">
        <f>hulp!F5</f>
        <v>Kantoren</v>
      </c>
      <c r="B59" s="104"/>
      <c r="C59" s="332">
        <f>SUMIF('Invulblad NWB'!$C$5:$C$12,$A59,'Invulblad NWB'!$G$5:$G$12)</f>
        <v>0</v>
      </c>
      <c r="D59" s="332">
        <f>SUMIF('Invulblad NWB'!$C$5:$C$12,$A59,'Invulblad NWB'!$E$5:$E$12)</f>
        <v>0</v>
      </c>
      <c r="E59" s="205">
        <f t="shared" ref="E59:E64" si="22">IF(D59=0,0,C59/D59)</f>
        <v>0</v>
      </c>
      <c r="F59" s="318">
        <f>IF($C59=0,0,(SUMIF('Invulblad NWB'!$C$5:$C$12,$A59,'Invulblad NWB'!$X$5:$X$12))*1.21)</f>
        <v>0</v>
      </c>
      <c r="G59" s="318">
        <f t="shared" ref="G59:G63" si="23">F59/1.21</f>
        <v>0</v>
      </c>
      <c r="H59" s="318">
        <f>IF($D59=0,0,(SUMIF('Invulblad NWB'!$C$5:$C$12,$A59,'Invulblad NWB'!$Y$5:$Y$12)))</f>
        <v>0</v>
      </c>
      <c r="I59" s="318">
        <f>IF($C59=0,0,(SUMIF('Invulblad NWB'!$C$5:$C$12,$A59,'Invulblad NWB'!$Z$5:$Z$12)))</f>
        <v>0</v>
      </c>
      <c r="J59" s="112">
        <f>IF(D59=0,0,I59/D59)</f>
        <v>0</v>
      </c>
      <c r="K59" s="15"/>
      <c r="L59" s="15"/>
    </row>
    <row r="60" spans="1:197" s="55" customFormat="1" x14ac:dyDescent="0.2">
      <c r="A60" s="39" t="str">
        <f>hulp!F6</f>
        <v>Commerciële voorzieningen</v>
      </c>
      <c r="B60" s="104"/>
      <c r="C60" s="332">
        <f>SUMIF('Invulblad NWB'!$C$5:$C$12,$A60,'Invulblad NWB'!$G$5:$G$12)</f>
        <v>0</v>
      </c>
      <c r="D60" s="332">
        <f>SUMIF('Invulblad NWB'!$C$5:$C$12,$A60,'Invulblad NWB'!$E$5:$E$12)</f>
        <v>0</v>
      </c>
      <c r="E60" s="205">
        <f t="shared" si="22"/>
        <v>0</v>
      </c>
      <c r="F60" s="318">
        <f>IF($C60=0,0,(SUMIF('Invulblad NWB'!$C$5:$C$12,$A60,'Invulblad NWB'!$X$5:$X$12))*1.21)</f>
        <v>0</v>
      </c>
      <c r="G60" s="318">
        <f t="shared" si="23"/>
        <v>0</v>
      </c>
      <c r="H60" s="318">
        <f>IF($D60=0,0,(SUMIF('Invulblad NWB'!$C$5:$C$12,$A60,'Invulblad NWB'!$Y$5:$Y$12)))</f>
        <v>0</v>
      </c>
      <c r="I60" s="318">
        <f>IF($C60=0,0,(SUMIF('Invulblad NWB'!$C$5:$C$12,$A60,'Invulblad NWB'!$Z$5:$Z$12)))</f>
        <v>0</v>
      </c>
      <c r="J60" s="112">
        <f t="shared" ref="J60:J64" si="24">IF(D60=0,0,I60/D60)</f>
        <v>0</v>
      </c>
      <c r="K60" s="15"/>
      <c r="L60" s="15"/>
    </row>
    <row r="61" spans="1:197" s="55" customFormat="1" x14ac:dyDescent="0.2">
      <c r="A61" s="40" t="str">
        <f>hulp!F7</f>
        <v>Niet-commerciële voorzieningen</v>
      </c>
      <c r="B61" s="127"/>
      <c r="C61" s="332">
        <f>SUMIF('Invulblad NWB'!$C$5:$C$12,$A61,'Invulblad NWB'!$G$5:$G$12)</f>
        <v>0</v>
      </c>
      <c r="D61" s="332">
        <f>SUMIF('Invulblad NWB'!$C$5:$C$12,$A61,'Invulblad NWB'!$E$5:$E$12)</f>
        <v>0</v>
      </c>
      <c r="E61" s="206">
        <f t="shared" si="22"/>
        <v>0</v>
      </c>
      <c r="F61" s="318">
        <f>IF($C61=0,0,(SUMIF('Invulblad NWB'!$C$5:$C$12,$A61,'Invulblad NWB'!$X$5:$X$12))*1.21)</f>
        <v>0</v>
      </c>
      <c r="G61" s="323">
        <f t="shared" si="23"/>
        <v>0</v>
      </c>
      <c r="H61" s="318">
        <f>IF($D61=0,0,(SUMIF('Invulblad NWB'!$C$5:$C$12,$A61,'Invulblad NWB'!$Y$5:$Y$12)))</f>
        <v>0</v>
      </c>
      <c r="I61" s="318">
        <f>IF($C61=0,0,(SUMIF('Invulblad NWB'!$C$5:$C$12,$A61,'Invulblad NWB'!$Z$5:$Z$12)))</f>
        <v>0</v>
      </c>
      <c r="J61" s="112">
        <f t="shared" si="24"/>
        <v>0</v>
      </c>
      <c r="K61" s="15"/>
      <c r="L61" s="15"/>
    </row>
    <row r="62" spans="1:197" s="55" customFormat="1" x14ac:dyDescent="0.2">
      <c r="A62" s="40" t="str">
        <f>hulp!F8</f>
        <v>Bedrijven</v>
      </c>
      <c r="B62" s="127"/>
      <c r="C62" s="332">
        <f>SUMIF('Invulblad NWB'!$C$5:$C$12,$A62,'Invulblad NWB'!$G$5:$G$12)</f>
        <v>0</v>
      </c>
      <c r="D62" s="332">
        <f>SUMIF('Invulblad NWB'!$C$5:$C$12,$A62,'Invulblad NWB'!$E$5:$E$12)</f>
        <v>0</v>
      </c>
      <c r="E62" s="333">
        <f t="shared" si="22"/>
        <v>0</v>
      </c>
      <c r="F62" s="318">
        <f>IF($C62=0,0,(SUMIF('Invulblad NWB'!$C$5:$C$12,$A62,'Invulblad NWB'!$X$5:$X$12))*1.21)</f>
        <v>0</v>
      </c>
      <c r="G62" s="334">
        <f t="shared" si="23"/>
        <v>0</v>
      </c>
      <c r="H62" s="318">
        <f>IF($D62=0,0,(SUMIF('Invulblad NWB'!$C$5:$C$12,$A62,'Invulblad NWB'!$Y$5:$Y$12)))</f>
        <v>0</v>
      </c>
      <c r="I62" s="318">
        <f>IF($C62=0,0,(SUMIF('Invulblad NWB'!$C$5:$C$12,$A62,'Invulblad NWB'!$Z$5:$Z$12)))</f>
        <v>0</v>
      </c>
      <c r="J62" s="124">
        <f t="shared" si="24"/>
        <v>0</v>
      </c>
      <c r="K62" s="15"/>
      <c r="L62" s="15"/>
    </row>
    <row r="63" spans="1:197" s="55" customFormat="1" ht="16" thickBot="1" x14ac:dyDescent="0.25">
      <c r="A63" s="44" t="str">
        <f>hulp!F9</f>
        <v>Overig</v>
      </c>
      <c r="B63" s="128"/>
      <c r="C63" s="94">
        <f>SUMIF('Invulblad NWB'!$C$5:$C$12,$A63,'Invulblad NWB'!$G$5:$G$12)</f>
        <v>0</v>
      </c>
      <c r="D63" s="94">
        <f>SUMIF('Invulblad NWB'!$C$5:$C$12,$A63,'Invulblad NWB'!$E$5:$E$12)</f>
        <v>0</v>
      </c>
      <c r="E63" s="335">
        <f t="shared" si="22"/>
        <v>0</v>
      </c>
      <c r="F63" s="336">
        <f>IF($C63=0,0,(SUMIF('Invulblad NWB'!$C$5:$C$12,$A63,'Invulblad NWB'!$X$5:$X$12))*1.21)</f>
        <v>0</v>
      </c>
      <c r="G63" s="336">
        <f t="shared" si="23"/>
        <v>0</v>
      </c>
      <c r="H63" s="336">
        <f>IF($D63=0,0,(SUMIF('Invulblad NWB'!$C$5:$C$12,$A63,'Invulblad NWB'!$Y$5:$Y$12)))</f>
        <v>0</v>
      </c>
      <c r="I63" s="336">
        <f>IF($C63=0,0,(SUMIF('Invulblad NWB'!$C$5:$C$12,$A63,'Invulblad NWB'!$Z$5:$Z$12)))</f>
        <v>0</v>
      </c>
      <c r="J63" s="316">
        <f t="shared" si="24"/>
        <v>0</v>
      </c>
      <c r="K63" s="15"/>
      <c r="L63" s="15"/>
    </row>
    <row r="64" spans="1:197" s="55" customFormat="1" ht="17" thickTop="1" thickBot="1" x14ac:dyDescent="0.25">
      <c r="A64" s="42" t="s">
        <v>225</v>
      </c>
      <c r="B64" s="106">
        <f>SUM(B59:B63)</f>
        <v>0</v>
      </c>
      <c r="C64" s="106">
        <f>SUM(C59:C63)</f>
        <v>0</v>
      </c>
      <c r="D64" s="106">
        <f>SUM(D59:D63)</f>
        <v>0</v>
      </c>
      <c r="E64" s="125">
        <f t="shared" si="22"/>
        <v>0</v>
      </c>
      <c r="F64" s="107">
        <f>SUM(F59:F63)</f>
        <v>0</v>
      </c>
      <c r="G64" s="107">
        <f>SUM(G59:G63)</f>
        <v>0</v>
      </c>
      <c r="H64" s="107">
        <f>SUM(H59:H63)</f>
        <v>0</v>
      </c>
      <c r="I64" s="107">
        <f>SUM(I59:I63)</f>
        <v>0</v>
      </c>
      <c r="J64" s="107">
        <f t="shared" si="24"/>
        <v>0</v>
      </c>
      <c r="K64" s="34"/>
      <c r="L64" s="15"/>
      <c r="M64" s="87"/>
      <c r="O64" s="108"/>
      <c r="P64" s="108"/>
      <c r="Q64" s="108"/>
      <c r="R64" s="108"/>
      <c r="T64" s="87"/>
      <c r="U64" s="87"/>
      <c r="V64" s="87"/>
      <c r="X64" s="108"/>
      <c r="Y64" s="87"/>
      <c r="Z64" s="87"/>
      <c r="AB64" s="108"/>
      <c r="AC64" s="108"/>
      <c r="AD64" s="108"/>
      <c r="AE64" s="108"/>
      <c r="AG64" s="87"/>
      <c r="AH64" s="87"/>
      <c r="AI64" s="87"/>
      <c r="AK64" s="108"/>
      <c r="AL64" s="108"/>
      <c r="AM64" s="108"/>
      <c r="AN64" s="108"/>
      <c r="AP64" s="87"/>
      <c r="AQ64" s="87"/>
      <c r="AR64" s="87"/>
      <c r="AT64" s="108"/>
      <c r="AU64" s="108"/>
      <c r="AV64" s="108"/>
      <c r="AW64" s="108"/>
      <c r="AY64" s="87"/>
      <c r="AZ64" s="87"/>
      <c r="BA64" s="87"/>
      <c r="BC64" s="108"/>
      <c r="BD64" s="108"/>
      <c r="BE64" s="108"/>
      <c r="BF64" s="108"/>
      <c r="BH64" s="87"/>
      <c r="BI64" s="87"/>
      <c r="BJ64" s="87"/>
      <c r="BL64" s="108"/>
      <c r="BM64" s="108"/>
      <c r="BN64" s="108"/>
      <c r="BO64" s="108"/>
      <c r="BQ64" s="87"/>
      <c r="BR64" s="87"/>
      <c r="BS64" s="87"/>
      <c r="BU64" s="108"/>
      <c r="BV64" s="108"/>
      <c r="BW64" s="108"/>
      <c r="BX64" s="108"/>
      <c r="BZ64" s="87"/>
      <c r="CA64" s="87"/>
      <c r="CB64" s="87"/>
      <c r="CD64" s="108"/>
      <c r="CE64" s="108"/>
      <c r="CF64" s="108"/>
      <c r="CG64" s="108"/>
      <c r="CI64" s="87"/>
      <c r="CJ64" s="87"/>
      <c r="CK64" s="87"/>
      <c r="CM64" s="108"/>
      <c r="CN64" s="108"/>
      <c r="CO64" s="108"/>
      <c r="CP64" s="108"/>
      <c r="CR64" s="87"/>
      <c r="CS64" s="87"/>
      <c r="CT64" s="87"/>
      <c r="CV64" s="108"/>
      <c r="CW64" s="108"/>
      <c r="CX64" s="108"/>
      <c r="CY64" s="108"/>
      <c r="DA64" s="87"/>
      <c r="DB64" s="87"/>
      <c r="DC64" s="87"/>
      <c r="DE64" s="108"/>
      <c r="DF64" s="108"/>
      <c r="DG64" s="108"/>
      <c r="DH64" s="108"/>
      <c r="DJ64" s="87"/>
      <c r="DK64" s="87"/>
      <c r="DL64" s="87"/>
      <c r="DN64" s="108"/>
      <c r="DO64" s="108"/>
      <c r="DP64" s="108"/>
      <c r="DQ64" s="108"/>
      <c r="DS64" s="87"/>
      <c r="DT64" s="87"/>
      <c r="DU64" s="87"/>
      <c r="DW64" s="108"/>
      <c r="DX64" s="108"/>
      <c r="DY64" s="108"/>
      <c r="DZ64" s="108"/>
      <c r="EB64" s="87"/>
      <c r="EC64" s="87"/>
      <c r="ED64" s="87"/>
      <c r="EF64" s="108"/>
      <c r="EG64" s="108"/>
      <c r="EH64" s="108"/>
      <c r="EI64" s="108"/>
      <c r="EK64" s="87"/>
      <c r="EL64" s="87"/>
      <c r="EM64" s="87"/>
      <c r="EO64" s="108"/>
      <c r="EP64" s="108"/>
      <c r="EQ64" s="108"/>
      <c r="ER64" s="108"/>
      <c r="ET64" s="87"/>
      <c r="EU64" s="87"/>
      <c r="EV64" s="87"/>
      <c r="EX64" s="108"/>
      <c r="EY64" s="108"/>
      <c r="EZ64" s="108"/>
      <c r="FA64" s="108"/>
      <c r="FC64" s="87"/>
      <c r="FD64" s="87"/>
      <c r="FE64" s="87"/>
      <c r="FG64" s="108"/>
      <c r="FH64" s="108"/>
      <c r="FI64" s="108"/>
      <c r="FJ64" s="108"/>
      <c r="FL64" s="87"/>
      <c r="FM64" s="87"/>
      <c r="FN64" s="87"/>
      <c r="FP64" s="108"/>
      <c r="FQ64" s="108"/>
      <c r="FR64" s="108"/>
      <c r="FS64" s="108"/>
      <c r="FU64" s="87"/>
      <c r="FV64" s="87"/>
      <c r="FW64" s="87"/>
      <c r="FY64" s="108"/>
      <c r="FZ64" s="108"/>
      <c r="GA64" s="108"/>
      <c r="GB64" s="108"/>
      <c r="GD64" s="87"/>
      <c r="GE64" s="87"/>
      <c r="GF64" s="87"/>
      <c r="GH64" s="108"/>
      <c r="GI64" s="108"/>
      <c r="GJ64" s="108"/>
      <c r="GK64" s="108"/>
      <c r="GM64" s="87"/>
      <c r="GN64" s="87"/>
      <c r="GO64" s="87"/>
    </row>
    <row r="65" spans="1:197" s="55" customFormat="1" ht="16" thickTop="1" x14ac:dyDescent="0.2">
      <c r="A65" s="15"/>
      <c r="B65" s="92"/>
      <c r="K65" s="15"/>
      <c r="L65" s="15"/>
    </row>
    <row r="66" spans="1:197" s="56" customFormat="1" x14ac:dyDescent="0.2">
      <c r="A66" s="19" t="s">
        <v>243</v>
      </c>
      <c r="B66" s="6" t="s">
        <v>226</v>
      </c>
      <c r="C66" s="6"/>
      <c r="D66" s="6" t="s">
        <v>171</v>
      </c>
      <c r="E66" s="6"/>
      <c r="F66" s="6" t="s">
        <v>37</v>
      </c>
      <c r="G66" s="6" t="s">
        <v>37</v>
      </c>
      <c r="H66" s="6" t="s">
        <v>41</v>
      </c>
      <c r="I66" s="6" t="s">
        <v>216</v>
      </c>
      <c r="J66" s="6" t="s">
        <v>216</v>
      </c>
      <c r="K66" s="30"/>
      <c r="L66" s="1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</row>
    <row r="67" spans="1:197" s="56" customFormat="1" x14ac:dyDescent="0.2">
      <c r="A67" s="19"/>
      <c r="B67" s="6"/>
      <c r="C67" s="6"/>
      <c r="D67" s="6"/>
      <c r="E67" s="6"/>
      <c r="F67" s="6" t="s">
        <v>75</v>
      </c>
      <c r="G67" s="6" t="s">
        <v>220</v>
      </c>
      <c r="H67" s="6" t="s">
        <v>220</v>
      </c>
      <c r="I67" s="6" t="s">
        <v>220</v>
      </c>
      <c r="J67" s="6" t="s">
        <v>219</v>
      </c>
      <c r="K67" s="30"/>
      <c r="L67" s="1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</row>
    <row r="68" spans="1:197" s="56" customFormat="1" x14ac:dyDescent="0.2">
      <c r="A68" s="20" t="s">
        <v>244</v>
      </c>
      <c r="B68" s="8"/>
      <c r="C68" s="6"/>
      <c r="D68" s="8"/>
      <c r="E68" s="8"/>
      <c r="F68" s="8"/>
      <c r="G68" s="8"/>
      <c r="H68" s="8"/>
      <c r="I68" s="8"/>
      <c r="J68" s="8" t="s">
        <v>220</v>
      </c>
      <c r="K68" s="30"/>
      <c r="L68" s="1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</row>
    <row r="69" spans="1:197" s="55" customFormat="1" x14ac:dyDescent="0.2">
      <c r="A69" s="40" t="str">
        <f>hulp!L5</f>
        <v>Autoparkeren ondergronds</v>
      </c>
      <c r="B69" s="320">
        <f>Kengetallen!B63+Kengetallen!B72</f>
        <v>0</v>
      </c>
      <c r="C69" s="321"/>
      <c r="D69" s="320">
        <f>Kengetallen!D63+Kengetallen!D72</f>
        <v>0</v>
      </c>
      <c r="E69" s="322"/>
      <c r="F69" s="323">
        <f>Kengetallen!$B63*Kengetallen!F63+Kengetallen!$B72*Kengetallen!F72</f>
        <v>0</v>
      </c>
      <c r="G69" s="323">
        <f>Kengetallen!$B63*Kengetallen!G63+Kengetallen!$B72*Kengetallen!G72</f>
        <v>0</v>
      </c>
      <c r="H69" s="323">
        <f>Kengetallen!$B63*Kengetallen!H63+Kengetallen!$B72*Kengetallen!H72</f>
        <v>0</v>
      </c>
      <c r="I69" s="323">
        <f>Kengetallen!$B63*Kengetallen!I63+Kengetallen!$B72*Kengetallen!I72</f>
        <v>0</v>
      </c>
      <c r="J69" s="323">
        <f>Kengetallen!$B63*Kengetallen!J63+Kengetallen!$B72*Kengetallen!J72</f>
        <v>0</v>
      </c>
      <c r="K69" s="45"/>
      <c r="L69" s="15"/>
    </row>
    <row r="70" spans="1:197" s="55" customFormat="1" x14ac:dyDescent="0.2">
      <c r="A70" s="40" t="str">
        <f>hulp!L6</f>
        <v>Autoparkeren bovengronds</v>
      </c>
      <c r="B70" s="320">
        <f>Kengetallen!B64+Kengetallen!B73</f>
        <v>0</v>
      </c>
      <c r="C70" s="321"/>
      <c r="D70" s="320">
        <f>Kengetallen!D64+Kengetallen!D73</f>
        <v>0</v>
      </c>
      <c r="E70" s="322"/>
      <c r="F70" s="323">
        <f>Kengetallen!$B64*Kengetallen!F64+Kengetallen!$B73*Kengetallen!F73</f>
        <v>0</v>
      </c>
      <c r="G70" s="323">
        <f>Kengetallen!$B64*Kengetallen!G64+Kengetallen!$B73*Kengetallen!G73</f>
        <v>0</v>
      </c>
      <c r="H70" s="323">
        <f>Kengetallen!$B64*Kengetallen!H64+Kengetallen!$B73*Kengetallen!H73</f>
        <v>0</v>
      </c>
      <c r="I70" s="323">
        <f>Kengetallen!$B64*Kengetallen!I64+Kengetallen!$B73*Kengetallen!I73</f>
        <v>0</v>
      </c>
      <c r="J70" s="323">
        <f>Kengetallen!$B64*Kengetallen!J64+Kengetallen!$B73*Kengetallen!J73</f>
        <v>0</v>
      </c>
      <c r="K70" s="15"/>
      <c r="L70" s="15"/>
    </row>
    <row r="71" spans="1:197" s="55" customFormat="1" x14ac:dyDescent="0.2">
      <c r="A71" s="40" t="str">
        <f>hulp!L7</f>
        <v>Autoparkeren gemengd</v>
      </c>
      <c r="B71" s="320">
        <f>Kengetallen!B65+Kengetallen!B74</f>
        <v>0</v>
      </c>
      <c r="C71" s="321"/>
      <c r="D71" s="320">
        <f>Kengetallen!D65+Kengetallen!D74</f>
        <v>0</v>
      </c>
      <c r="E71" s="322"/>
      <c r="F71" s="323">
        <f>Kengetallen!$B65*Kengetallen!F65+Kengetallen!$B74*Kengetallen!F74</f>
        <v>0</v>
      </c>
      <c r="G71" s="323">
        <f>Kengetallen!$B65*Kengetallen!G65+Kengetallen!$B74*Kengetallen!G74</f>
        <v>0</v>
      </c>
      <c r="H71" s="323">
        <f>Kengetallen!$B65*Kengetallen!H65+Kengetallen!$B74*Kengetallen!H74</f>
        <v>0</v>
      </c>
      <c r="I71" s="323">
        <f>Kengetallen!$B65*Kengetallen!I65+Kengetallen!$B74*Kengetallen!I74</f>
        <v>0</v>
      </c>
      <c r="J71" s="323">
        <f>Kengetallen!$B65*Kengetallen!J65+Kengetallen!$B74*Kengetallen!J74</f>
        <v>0</v>
      </c>
      <c r="K71" s="15"/>
      <c r="L71" s="15"/>
    </row>
    <row r="72" spans="1:197" s="55" customFormat="1" ht="16" thickBot="1" x14ac:dyDescent="0.25">
      <c r="A72" s="44" t="str">
        <f>hulp!L8</f>
        <v>Autoparkeren maaiveld</v>
      </c>
      <c r="B72" s="94">
        <f>Kengetallen!B66+Kengetallen!B75</f>
        <v>0</v>
      </c>
      <c r="C72" s="325"/>
      <c r="D72" s="331">
        <f>Kengetallen!D66+Kengetallen!D75</f>
        <v>0</v>
      </c>
      <c r="E72" s="326"/>
      <c r="F72" s="327">
        <f>Kengetallen!$B66*Kengetallen!F66+Kengetallen!$B75*Kengetallen!F75</f>
        <v>0</v>
      </c>
      <c r="G72" s="327">
        <f>Kengetallen!$B66*Kengetallen!G66+Kengetallen!$B75*Kengetallen!G75</f>
        <v>0</v>
      </c>
      <c r="H72" s="327">
        <f>Kengetallen!$B66*Kengetallen!H66+Kengetallen!$B75*Kengetallen!H75</f>
        <v>0</v>
      </c>
      <c r="I72" s="327">
        <f>Kengetallen!$B66*Kengetallen!I66+Kengetallen!$B74*Kengetallen!I74</f>
        <v>0</v>
      </c>
      <c r="J72" s="327">
        <f>Kengetallen!$B66*Kengetallen!J66+Kengetallen!$B75*Kengetallen!J75</f>
        <v>0</v>
      </c>
      <c r="K72" s="15"/>
      <c r="L72" s="15"/>
    </row>
    <row r="73" spans="1:197" s="55" customFormat="1" ht="17" thickTop="1" thickBot="1" x14ac:dyDescent="0.25">
      <c r="A73" s="42" t="s">
        <v>225</v>
      </c>
      <c r="B73" s="329">
        <f>SUM(B69:B72)</f>
        <v>0</v>
      </c>
      <c r="C73" s="329"/>
      <c r="D73" s="329">
        <f t="shared" ref="D73:I73" si="25">SUM(D69:D72)</f>
        <v>0</v>
      </c>
      <c r="E73" s="329"/>
      <c r="F73" s="330">
        <f t="shared" si="25"/>
        <v>0</v>
      </c>
      <c r="G73" s="330">
        <f t="shared" si="25"/>
        <v>0</v>
      </c>
      <c r="H73" s="330">
        <f t="shared" si="25"/>
        <v>0</v>
      </c>
      <c r="I73" s="330">
        <f t="shared" si="25"/>
        <v>0</v>
      </c>
      <c r="J73" s="330">
        <f t="shared" ref="J73" si="26">SUM(J69:J72)</f>
        <v>0</v>
      </c>
      <c r="K73" s="34"/>
      <c r="L73" s="15"/>
      <c r="M73" s="87"/>
      <c r="O73" s="108"/>
      <c r="P73" s="108"/>
      <c r="Q73" s="108"/>
      <c r="R73" s="108"/>
      <c r="T73" s="87"/>
      <c r="U73" s="87"/>
      <c r="V73" s="87"/>
      <c r="X73" s="108"/>
      <c r="Y73" s="87"/>
      <c r="Z73" s="87"/>
      <c r="AB73" s="108"/>
      <c r="AC73" s="108"/>
      <c r="AD73" s="108"/>
      <c r="AE73" s="108"/>
      <c r="AG73" s="87"/>
      <c r="AH73" s="87"/>
      <c r="AI73" s="87"/>
      <c r="AK73" s="108"/>
      <c r="AL73" s="108"/>
      <c r="AM73" s="108"/>
      <c r="AN73" s="108"/>
      <c r="AP73" s="87"/>
      <c r="AQ73" s="87"/>
      <c r="AR73" s="87"/>
      <c r="AT73" s="108"/>
      <c r="AU73" s="108"/>
      <c r="AV73" s="108"/>
      <c r="AW73" s="108"/>
      <c r="AY73" s="87"/>
      <c r="AZ73" s="87"/>
      <c r="BA73" s="87"/>
      <c r="BC73" s="108"/>
      <c r="BD73" s="108"/>
      <c r="BE73" s="108"/>
      <c r="BF73" s="108"/>
      <c r="BH73" s="87"/>
      <c r="BI73" s="87"/>
      <c r="BJ73" s="87"/>
      <c r="BL73" s="108"/>
      <c r="BM73" s="108"/>
      <c r="BN73" s="108"/>
      <c r="BO73" s="108"/>
      <c r="BQ73" s="87"/>
      <c r="BR73" s="87"/>
      <c r="BS73" s="87"/>
      <c r="BU73" s="108"/>
      <c r="BV73" s="108"/>
      <c r="BW73" s="108"/>
      <c r="BX73" s="108"/>
      <c r="BZ73" s="87"/>
      <c r="CA73" s="87"/>
      <c r="CB73" s="87"/>
      <c r="CD73" s="108"/>
      <c r="CE73" s="108"/>
      <c r="CF73" s="108"/>
      <c r="CG73" s="108"/>
      <c r="CI73" s="87"/>
      <c r="CJ73" s="87"/>
      <c r="CK73" s="87"/>
      <c r="CM73" s="108"/>
      <c r="CN73" s="108"/>
      <c r="CO73" s="108"/>
      <c r="CP73" s="108"/>
      <c r="CR73" s="87"/>
      <c r="CS73" s="87"/>
      <c r="CT73" s="87"/>
      <c r="CV73" s="108"/>
      <c r="CW73" s="108"/>
      <c r="CX73" s="108"/>
      <c r="CY73" s="108"/>
      <c r="DA73" s="87"/>
      <c r="DB73" s="87"/>
      <c r="DC73" s="87"/>
      <c r="DE73" s="108"/>
      <c r="DF73" s="108"/>
      <c r="DG73" s="108"/>
      <c r="DH73" s="108"/>
      <c r="DJ73" s="87"/>
      <c r="DK73" s="87"/>
      <c r="DL73" s="87"/>
      <c r="DN73" s="108"/>
      <c r="DO73" s="108"/>
      <c r="DP73" s="108"/>
      <c r="DQ73" s="108"/>
      <c r="DS73" s="87"/>
      <c r="DT73" s="87"/>
      <c r="DU73" s="87"/>
      <c r="DW73" s="108"/>
      <c r="DX73" s="108"/>
      <c r="DY73" s="108"/>
      <c r="DZ73" s="108"/>
      <c r="EB73" s="87"/>
      <c r="EC73" s="87"/>
      <c r="ED73" s="87"/>
      <c r="EF73" s="108"/>
      <c r="EG73" s="108"/>
      <c r="EH73" s="108"/>
      <c r="EI73" s="108"/>
      <c r="EK73" s="87"/>
      <c r="EL73" s="87"/>
      <c r="EM73" s="87"/>
      <c r="EO73" s="108"/>
      <c r="EP73" s="108"/>
      <c r="EQ73" s="108"/>
      <c r="ER73" s="108"/>
      <c r="ET73" s="87"/>
      <c r="EU73" s="87"/>
      <c r="EV73" s="87"/>
      <c r="EX73" s="108"/>
      <c r="EY73" s="108"/>
      <c r="EZ73" s="108"/>
      <c r="FA73" s="108"/>
      <c r="FC73" s="87"/>
      <c r="FD73" s="87"/>
      <c r="FE73" s="87"/>
      <c r="FG73" s="108"/>
      <c r="FH73" s="108"/>
      <c r="FI73" s="108"/>
      <c r="FJ73" s="108"/>
      <c r="FL73" s="87"/>
      <c r="FM73" s="87"/>
      <c r="FN73" s="87"/>
      <c r="FP73" s="108"/>
      <c r="FQ73" s="108"/>
      <c r="FR73" s="108"/>
      <c r="FS73" s="108"/>
      <c r="FU73" s="87"/>
      <c r="FV73" s="87"/>
      <c r="FW73" s="87"/>
      <c r="FY73" s="108"/>
      <c r="FZ73" s="108"/>
      <c r="GA73" s="108"/>
      <c r="GB73" s="108"/>
      <c r="GD73" s="87"/>
      <c r="GE73" s="87"/>
      <c r="GF73" s="87"/>
      <c r="GH73" s="108"/>
      <c r="GI73" s="108"/>
      <c r="GJ73" s="108"/>
      <c r="GK73" s="108"/>
      <c r="GM73" s="87"/>
      <c r="GN73" s="87"/>
      <c r="GO73" s="87"/>
    </row>
    <row r="74" spans="1:197" s="55" customFormat="1" ht="16" thickTop="1" x14ac:dyDescent="0.2">
      <c r="A74" s="15"/>
      <c r="B74" s="92"/>
      <c r="C74" s="129"/>
      <c r="D74" s="130"/>
      <c r="F74" s="84"/>
      <c r="G74" s="84"/>
      <c r="H74" s="84"/>
      <c r="I74" s="84"/>
      <c r="J74" s="84"/>
      <c r="K74" s="15"/>
      <c r="L74" s="15"/>
    </row>
    <row r="75" spans="1:197" s="56" customFormat="1" x14ac:dyDescent="0.2">
      <c r="A75" s="19" t="s">
        <v>243</v>
      </c>
      <c r="B75" s="6" t="s">
        <v>226</v>
      </c>
      <c r="C75" s="6"/>
      <c r="D75" s="6" t="s">
        <v>171</v>
      </c>
      <c r="E75" s="6"/>
      <c r="F75" s="6" t="s">
        <v>37</v>
      </c>
      <c r="G75" s="6" t="s">
        <v>37</v>
      </c>
      <c r="H75" s="6" t="s">
        <v>41</v>
      </c>
      <c r="I75" s="6" t="s">
        <v>216</v>
      </c>
      <c r="J75" s="6" t="s">
        <v>216</v>
      </c>
      <c r="K75" s="30"/>
      <c r="L75" s="1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</row>
    <row r="76" spans="1:197" s="56" customFormat="1" x14ac:dyDescent="0.2">
      <c r="A76" s="19"/>
      <c r="B76" s="6"/>
      <c r="C76" s="6"/>
      <c r="D76" s="6"/>
      <c r="E76" s="6"/>
      <c r="F76" s="6" t="s">
        <v>75</v>
      </c>
      <c r="G76" s="6" t="s">
        <v>220</v>
      </c>
      <c r="H76" s="6" t="s">
        <v>220</v>
      </c>
      <c r="I76" s="6" t="s">
        <v>220</v>
      </c>
      <c r="J76" s="6" t="s">
        <v>219</v>
      </c>
      <c r="K76" s="30"/>
      <c r="L76" s="1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</row>
    <row r="77" spans="1:197" s="56" customFormat="1" x14ac:dyDescent="0.2">
      <c r="A77" s="20" t="s">
        <v>245</v>
      </c>
      <c r="B77" s="8"/>
      <c r="C77" s="8"/>
      <c r="D77" s="8"/>
      <c r="E77" s="8"/>
      <c r="F77" s="8"/>
      <c r="G77" s="8"/>
      <c r="H77" s="8"/>
      <c r="I77" s="8"/>
      <c r="J77" s="8" t="s">
        <v>220</v>
      </c>
      <c r="K77" s="30"/>
      <c r="L77" s="1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</row>
    <row r="78" spans="1:197" s="55" customFormat="1" x14ac:dyDescent="0.2">
      <c r="A78" s="33" t="str">
        <f>hulp!L9</f>
        <v>Fietsparkeren ondergronds</v>
      </c>
      <c r="B78" s="320">
        <f>Kengetallen!B81+Kengetallen!B90</f>
        <v>0</v>
      </c>
      <c r="C78" s="321"/>
      <c r="D78" s="320">
        <f>Kengetallen!D81+Kengetallen!D90</f>
        <v>0</v>
      </c>
      <c r="E78" s="322"/>
      <c r="F78" s="323">
        <f>Kengetallen!$B81*Kengetallen!F81+Kengetallen!$B90*Kengetallen!F90</f>
        <v>0</v>
      </c>
      <c r="G78" s="323">
        <f>Kengetallen!$B81*Kengetallen!G81+Kengetallen!$B90*Kengetallen!G90</f>
        <v>0</v>
      </c>
      <c r="H78" s="323">
        <f>Kengetallen!$B81*Kengetallen!H81+Kengetallen!$B90*Kengetallen!H90</f>
        <v>0</v>
      </c>
      <c r="I78" s="323">
        <f>Kengetallen!$B81*Kengetallen!I81+Kengetallen!$B90*Kengetallen!I90</f>
        <v>0</v>
      </c>
      <c r="J78" s="323">
        <f>Kengetallen!$B81*Kengetallen!J81+Kengetallen!$B90*Kengetallen!J90</f>
        <v>0</v>
      </c>
      <c r="K78" s="15"/>
      <c r="L78" s="15"/>
    </row>
    <row r="79" spans="1:197" s="55" customFormat="1" x14ac:dyDescent="0.2">
      <c r="A79" s="33" t="str">
        <f>hulp!L10</f>
        <v>Fietsparkeren bovengronds</v>
      </c>
      <c r="B79" s="320">
        <f>Kengetallen!B82+Kengetallen!B91</f>
        <v>0</v>
      </c>
      <c r="C79" s="321"/>
      <c r="D79" s="320">
        <f>Kengetallen!D82+Kengetallen!D91</f>
        <v>0</v>
      </c>
      <c r="E79" s="322"/>
      <c r="F79" s="323">
        <f>Kengetallen!$B82*Kengetallen!F82+Kengetallen!$B91*Kengetallen!F91</f>
        <v>0</v>
      </c>
      <c r="G79" s="323">
        <f>Kengetallen!$B82*Kengetallen!G82+Kengetallen!$B91*Kengetallen!G91</f>
        <v>0</v>
      </c>
      <c r="H79" s="323">
        <f>Kengetallen!$B82*Kengetallen!H82+Kengetallen!$B91*Kengetallen!H91</f>
        <v>0</v>
      </c>
      <c r="I79" s="323">
        <f>Kengetallen!$B82*Kengetallen!I82+Kengetallen!$B91*Kengetallen!I91</f>
        <v>0</v>
      </c>
      <c r="J79" s="323">
        <f>Kengetallen!$B82*Kengetallen!J82+Kengetallen!$B91*Kengetallen!J91</f>
        <v>0</v>
      </c>
      <c r="K79" s="15"/>
      <c r="L79" s="15"/>
    </row>
    <row r="80" spans="1:197" s="55" customFormat="1" x14ac:dyDescent="0.2">
      <c r="A80" s="33" t="str">
        <f>hulp!L11</f>
        <v>Fietsparkeren gemengd</v>
      </c>
      <c r="B80" s="320">
        <f>Kengetallen!B83+Kengetallen!B92</f>
        <v>0</v>
      </c>
      <c r="C80" s="321"/>
      <c r="D80" s="320">
        <f>Kengetallen!D83+Kengetallen!D92</f>
        <v>0</v>
      </c>
      <c r="E80" s="322"/>
      <c r="F80" s="323">
        <f>Kengetallen!$B83*Kengetallen!F83+Kengetallen!$B92*Kengetallen!F92</f>
        <v>0</v>
      </c>
      <c r="G80" s="323">
        <f>Kengetallen!$B83*Kengetallen!G83+Kengetallen!$B92*Kengetallen!G92</f>
        <v>0</v>
      </c>
      <c r="H80" s="323">
        <f>Kengetallen!$B83*Kengetallen!H83+Kengetallen!$B92*Kengetallen!H92</f>
        <v>0</v>
      </c>
      <c r="I80" s="323">
        <f>Kengetallen!$B83*Kengetallen!I83+Kengetallen!$B92*Kengetallen!I92</f>
        <v>0</v>
      </c>
      <c r="J80" s="323">
        <f>Kengetallen!$B83*Kengetallen!J83+Kengetallen!$B92*Kengetallen!J92</f>
        <v>0</v>
      </c>
      <c r="K80" s="15"/>
      <c r="L80" s="15"/>
    </row>
    <row r="81" spans="1:197" s="55" customFormat="1" ht="16" thickBot="1" x14ac:dyDescent="0.25">
      <c r="A81" s="36" t="str">
        <f>hulp!L12</f>
        <v>Fietsparkeren maaiveld</v>
      </c>
      <c r="B81" s="324">
        <f>Kengetallen!B84+Kengetallen!B93</f>
        <v>0</v>
      </c>
      <c r="C81" s="325"/>
      <c r="D81" s="320">
        <f>Kengetallen!D84+Kengetallen!D93</f>
        <v>0</v>
      </c>
      <c r="E81" s="326"/>
      <c r="F81" s="327">
        <f>Kengetallen!$B84*Kengetallen!F84+Kengetallen!$B93*Kengetallen!F93</f>
        <v>0</v>
      </c>
      <c r="G81" s="323">
        <f>Kengetallen!$B84*Kengetallen!G84+Kengetallen!$B93*Kengetallen!G93</f>
        <v>0</v>
      </c>
      <c r="H81" s="323">
        <f>Kengetallen!$B84*Kengetallen!H84+Kengetallen!$B93*Kengetallen!H93</f>
        <v>0</v>
      </c>
      <c r="I81" s="323">
        <f>Kengetallen!$B84*Kengetallen!I84+Kengetallen!$B93*Kengetallen!I93</f>
        <v>0</v>
      </c>
      <c r="J81" s="323">
        <f>Kengetallen!$B84*Kengetallen!J84+Kengetallen!$B93*Kengetallen!J93</f>
        <v>0</v>
      </c>
      <c r="K81" s="15"/>
      <c r="L81" s="15"/>
    </row>
    <row r="82" spans="1:197" s="55" customFormat="1" ht="17" thickTop="1" thickBot="1" x14ac:dyDescent="0.25">
      <c r="A82" s="328" t="s">
        <v>225</v>
      </c>
      <c r="B82" s="329">
        <f>SUM(B78:B81)</f>
        <v>0</v>
      </c>
      <c r="C82" s="329"/>
      <c r="D82" s="329">
        <f t="shared" ref="D82" si="27">SUM(D78:D81)</f>
        <v>0</v>
      </c>
      <c r="E82" s="329"/>
      <c r="F82" s="330">
        <f t="shared" ref="F82" si="28">SUM(F78:F81)</f>
        <v>0</v>
      </c>
      <c r="G82" s="330">
        <f t="shared" ref="G82" si="29">SUM(G78:G81)</f>
        <v>0</v>
      </c>
      <c r="H82" s="330">
        <f t="shared" ref="H82" si="30">SUM(H78:H81)</f>
        <v>0</v>
      </c>
      <c r="I82" s="330">
        <f t="shared" ref="I82" si="31">SUM(I78:I81)</f>
        <v>0</v>
      </c>
      <c r="J82" s="330">
        <f>SUM(J78:J81)</f>
        <v>0</v>
      </c>
      <c r="K82" s="34"/>
      <c r="L82" s="15"/>
      <c r="M82" s="87"/>
      <c r="O82" s="108"/>
      <c r="P82" s="108"/>
      <c r="Q82" s="108"/>
      <c r="R82" s="108"/>
      <c r="T82" s="87"/>
      <c r="U82" s="87"/>
      <c r="V82" s="87"/>
      <c r="X82" s="108"/>
      <c r="Y82" s="87"/>
      <c r="Z82" s="87"/>
      <c r="AB82" s="108"/>
      <c r="AC82" s="108"/>
      <c r="AD82" s="108"/>
      <c r="AE82" s="108"/>
      <c r="AG82" s="87"/>
      <c r="AH82" s="87"/>
      <c r="AI82" s="87"/>
      <c r="AK82" s="108"/>
      <c r="AL82" s="108"/>
      <c r="AM82" s="108"/>
      <c r="AN82" s="108"/>
      <c r="AP82" s="87"/>
      <c r="AQ82" s="87"/>
      <c r="AR82" s="87"/>
      <c r="AT82" s="108"/>
      <c r="AU82" s="108"/>
      <c r="AV82" s="108"/>
      <c r="AW82" s="108"/>
      <c r="AY82" s="87"/>
      <c r="AZ82" s="87"/>
      <c r="BA82" s="87"/>
      <c r="BC82" s="108"/>
      <c r="BD82" s="108"/>
      <c r="BE82" s="108"/>
      <c r="BF82" s="108"/>
      <c r="BH82" s="87"/>
      <c r="BI82" s="87"/>
      <c r="BJ82" s="87"/>
      <c r="BL82" s="108"/>
      <c r="BM82" s="108"/>
      <c r="BN82" s="108"/>
      <c r="BO82" s="108"/>
      <c r="BQ82" s="87"/>
      <c r="BR82" s="87"/>
      <c r="BS82" s="87"/>
      <c r="BU82" s="108"/>
      <c r="BV82" s="108"/>
      <c r="BW82" s="108"/>
      <c r="BX82" s="108"/>
      <c r="BZ82" s="87"/>
      <c r="CA82" s="87"/>
      <c r="CB82" s="87"/>
      <c r="CD82" s="108"/>
      <c r="CE82" s="108"/>
      <c r="CF82" s="108"/>
      <c r="CG82" s="108"/>
      <c r="CI82" s="87"/>
      <c r="CJ82" s="87"/>
      <c r="CK82" s="87"/>
      <c r="CM82" s="108"/>
      <c r="CN82" s="108"/>
      <c r="CO82" s="108"/>
      <c r="CP82" s="108"/>
      <c r="CR82" s="87"/>
      <c r="CS82" s="87"/>
      <c r="CT82" s="87"/>
      <c r="CV82" s="108"/>
      <c r="CW82" s="108"/>
      <c r="CX82" s="108"/>
      <c r="CY82" s="108"/>
      <c r="DA82" s="87"/>
      <c r="DB82" s="87"/>
      <c r="DC82" s="87"/>
      <c r="DE82" s="108"/>
      <c r="DF82" s="108"/>
      <c r="DG82" s="108"/>
      <c r="DH82" s="108"/>
      <c r="DJ82" s="87"/>
      <c r="DK82" s="87"/>
      <c r="DL82" s="87"/>
      <c r="DN82" s="108"/>
      <c r="DO82" s="108"/>
      <c r="DP82" s="108"/>
      <c r="DQ82" s="108"/>
      <c r="DS82" s="87"/>
      <c r="DT82" s="87"/>
      <c r="DU82" s="87"/>
      <c r="DW82" s="108"/>
      <c r="DX82" s="108"/>
      <c r="DY82" s="108"/>
      <c r="DZ82" s="108"/>
      <c r="EB82" s="87"/>
      <c r="EC82" s="87"/>
      <c r="ED82" s="87"/>
      <c r="EF82" s="108"/>
      <c r="EG82" s="108"/>
      <c r="EH82" s="108"/>
      <c r="EI82" s="108"/>
      <c r="EK82" s="87"/>
      <c r="EL82" s="87"/>
      <c r="EM82" s="87"/>
      <c r="EO82" s="108"/>
      <c r="EP82" s="108"/>
      <c r="EQ82" s="108"/>
      <c r="ER82" s="108"/>
      <c r="ET82" s="87"/>
      <c r="EU82" s="87"/>
      <c r="EV82" s="87"/>
      <c r="EX82" s="108"/>
      <c r="EY82" s="108"/>
      <c r="EZ82" s="108"/>
      <c r="FA82" s="108"/>
      <c r="FC82" s="87"/>
      <c r="FD82" s="87"/>
      <c r="FE82" s="87"/>
      <c r="FG82" s="108"/>
      <c r="FH82" s="108"/>
      <c r="FI82" s="108"/>
      <c r="FJ82" s="108"/>
      <c r="FL82" s="87"/>
      <c r="FM82" s="87"/>
      <c r="FN82" s="87"/>
      <c r="FP82" s="108"/>
      <c r="FQ82" s="108"/>
      <c r="FR82" s="108"/>
      <c r="FS82" s="108"/>
      <c r="FU82" s="87"/>
      <c r="FV82" s="87"/>
      <c r="FW82" s="87"/>
      <c r="FY82" s="108"/>
      <c r="FZ82" s="108"/>
      <c r="GA82" s="108"/>
      <c r="GB82" s="108"/>
      <c r="GD82" s="87"/>
      <c r="GE82" s="87"/>
      <c r="GF82" s="87"/>
      <c r="GH82" s="108"/>
      <c r="GI82" s="108"/>
      <c r="GJ82" s="108"/>
      <c r="GK82" s="108"/>
      <c r="GM82" s="87"/>
      <c r="GN82" s="87"/>
      <c r="GO82" s="87"/>
    </row>
    <row r="83" spans="1:197" s="55" customFormat="1" ht="16" thickTop="1" x14ac:dyDescent="0.2">
      <c r="A83" s="15"/>
      <c r="B83" s="92"/>
      <c r="K83" s="15"/>
      <c r="L83" s="15"/>
    </row>
    <row r="84" spans="1:197" s="55" customFormat="1" x14ac:dyDescent="0.2">
      <c r="A84" s="15"/>
      <c r="B84" s="92"/>
      <c r="K84" s="15"/>
      <c r="L84" s="15"/>
    </row>
    <row r="85" spans="1:197" s="55" customFormat="1" x14ac:dyDescent="0.2">
      <c r="A85" s="15"/>
      <c r="B85" s="92"/>
      <c r="K85" s="15"/>
      <c r="L85" s="15"/>
    </row>
    <row r="86" spans="1:197" s="55" customFormat="1" x14ac:dyDescent="0.2">
      <c r="A86" s="15"/>
      <c r="B86" s="92"/>
      <c r="K86" s="15"/>
      <c r="L86" s="15"/>
    </row>
    <row r="87" spans="1:197" s="55" customFormat="1" x14ac:dyDescent="0.2">
      <c r="A87" s="15"/>
      <c r="B87" s="92"/>
      <c r="K87" s="15"/>
      <c r="L87" s="15"/>
    </row>
    <row r="88" spans="1:197" s="55" customFormat="1" x14ac:dyDescent="0.2">
      <c r="A88" s="15"/>
      <c r="B88" s="92"/>
      <c r="K88" s="15"/>
      <c r="L88" s="15"/>
    </row>
    <row r="89" spans="1:197" s="55" customFormat="1" x14ac:dyDescent="0.2">
      <c r="A89" s="15"/>
      <c r="B89" s="92"/>
      <c r="K89" s="15"/>
      <c r="L89" s="15"/>
    </row>
    <row r="90" spans="1:197" s="55" customFormat="1" x14ac:dyDescent="0.2">
      <c r="A90" s="15"/>
      <c r="B90" s="92"/>
      <c r="K90" s="15"/>
      <c r="L90" s="15"/>
    </row>
    <row r="91" spans="1:197" s="55" customFormat="1" x14ac:dyDescent="0.2">
      <c r="A91" s="15"/>
      <c r="B91" s="92"/>
      <c r="K91" s="15"/>
      <c r="L91" s="15"/>
    </row>
    <row r="92" spans="1:197" s="55" customFormat="1" x14ac:dyDescent="0.2">
      <c r="A92" s="15"/>
      <c r="B92" s="92"/>
      <c r="K92" s="15"/>
      <c r="L92" s="15"/>
    </row>
    <row r="93" spans="1:197" s="55" customFormat="1" x14ac:dyDescent="0.2">
      <c r="A93" s="15"/>
      <c r="B93" s="92"/>
      <c r="K93" s="15"/>
      <c r="L93" s="15"/>
    </row>
    <row r="94" spans="1:197" s="55" customFormat="1" x14ac:dyDescent="0.2">
      <c r="A94" s="15"/>
      <c r="B94" s="92"/>
      <c r="K94" s="15"/>
      <c r="L94" s="15"/>
    </row>
    <row r="95" spans="1:197" s="55" customFormat="1" x14ac:dyDescent="0.2">
      <c r="A95" s="15"/>
      <c r="B95" s="92"/>
      <c r="K95" s="15"/>
      <c r="L95" s="15"/>
    </row>
    <row r="96" spans="1:197" s="55" customFormat="1" x14ac:dyDescent="0.2">
      <c r="A96" s="15"/>
      <c r="B96" s="92"/>
      <c r="K96" s="15"/>
      <c r="L96" s="15"/>
    </row>
    <row r="97" spans="1:12" s="55" customFormat="1" x14ac:dyDescent="0.2">
      <c r="A97" s="15"/>
      <c r="B97" s="92"/>
      <c r="K97" s="15"/>
      <c r="L97" s="15"/>
    </row>
    <row r="98" spans="1:12" s="55" customFormat="1" x14ac:dyDescent="0.2">
      <c r="A98" s="15"/>
      <c r="B98" s="92"/>
      <c r="K98" s="15"/>
      <c r="L98" s="15"/>
    </row>
    <row r="99" spans="1:12" s="55" customFormat="1" x14ac:dyDescent="0.2">
      <c r="A99" s="15"/>
      <c r="B99" s="92"/>
      <c r="K99" s="15"/>
      <c r="L99" s="15"/>
    </row>
    <row r="100" spans="1:12" s="55" customFormat="1" x14ac:dyDescent="0.2">
      <c r="A100" s="15"/>
      <c r="B100" s="92"/>
      <c r="K100" s="15"/>
      <c r="L100" s="15"/>
    </row>
  </sheetData>
  <sheetProtection formatColumns="0" formatRows="0"/>
  <pageMargins left="0.7" right="0.7" top="0.75" bottom="0.75" header="0.3" footer="0.3"/>
  <pageSetup paperSize="9" scale="5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EE53-DE4D-429B-9F0C-7684D7F429E7}">
  <sheetPr codeName="Blad2">
    <tabColor rgb="FFFFFF00"/>
    <pageSetUpPr fitToPage="1"/>
  </sheetPr>
  <dimension ref="A1:AG94"/>
  <sheetViews>
    <sheetView tabSelected="1" topLeftCell="A84" workbookViewId="0">
      <selection activeCell="E2" sqref="E2"/>
    </sheetView>
  </sheetViews>
  <sheetFormatPr baseColWidth="10" defaultColWidth="8.83203125" defaultRowHeight="15" x14ac:dyDescent="0.2"/>
  <cols>
    <col min="1" max="1" width="47.5" style="3" bestFit="1" customWidth="1"/>
    <col min="2" max="2" width="6.83203125" style="217" bestFit="1" customWidth="1"/>
    <col min="3" max="4" width="11.5" style="2" bestFit="1" customWidth="1"/>
    <col min="5" max="5" width="10.5" style="2" bestFit="1" customWidth="1"/>
    <col min="6" max="6" width="12.5" style="2" bestFit="1" customWidth="1"/>
    <col min="7" max="7" width="13.5" style="2" bestFit="1" customWidth="1"/>
    <col min="8" max="8" width="15" style="2" bestFit="1" customWidth="1"/>
    <col min="9" max="9" width="15.83203125" style="2" bestFit="1" customWidth="1"/>
    <col min="10" max="10" width="17.1640625" style="2" customWidth="1"/>
    <col min="11" max="11" width="15.83203125" style="2" customWidth="1"/>
    <col min="12" max="12" width="15.5" style="2" customWidth="1"/>
    <col min="13" max="13" width="2.5" customWidth="1"/>
    <col min="14" max="14" width="10.1640625" style="15" bestFit="1" customWidth="1"/>
    <col min="15" max="15" width="11" style="2" bestFit="1" customWidth="1"/>
    <col min="16" max="17" width="17" style="2" bestFit="1" customWidth="1"/>
    <col min="18" max="18" width="17.5" style="2" bestFit="1" customWidth="1"/>
    <col min="19" max="19" width="11.5" style="2" bestFit="1" customWidth="1"/>
    <col min="20" max="20" width="12.83203125" style="2" bestFit="1" customWidth="1"/>
    <col min="21" max="21" width="17.5" style="2" bestFit="1" customWidth="1"/>
    <col min="22" max="23" width="15.5" style="2" bestFit="1" customWidth="1"/>
    <col min="24" max="24" width="17.5" style="2" bestFit="1" customWidth="1"/>
    <col min="25" max="26" width="13.5" style="2" bestFit="1" customWidth="1"/>
    <col min="27" max="27" width="17.5" style="2" customWidth="1"/>
    <col min="28" max="29" width="15" style="2" bestFit="1" customWidth="1"/>
    <col min="30" max="31" width="17.5" style="2" bestFit="1" customWidth="1"/>
    <col min="33" max="33" width="0" hidden="1" customWidth="1"/>
    <col min="34" max="16384" width="8.83203125" style="2"/>
  </cols>
  <sheetData>
    <row r="1" spans="1:33" ht="28.5" customHeight="1" x14ac:dyDescent="0.3">
      <c r="A1" s="15"/>
      <c r="B1" s="55"/>
      <c r="C1" s="54" t="s">
        <v>21</v>
      </c>
      <c r="D1" s="55"/>
      <c r="E1" s="55"/>
      <c r="F1" s="55"/>
      <c r="G1" s="255"/>
      <c r="H1" s="255"/>
      <c r="I1" s="255"/>
      <c r="J1" s="255"/>
      <c r="K1" s="55"/>
      <c r="L1" s="55"/>
      <c r="N1" s="255"/>
      <c r="O1" s="1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/>
      <c r="AC1" s="255"/>
      <c r="AD1" s="255"/>
      <c r="AE1"/>
      <c r="AG1" s="3"/>
    </row>
    <row r="2" spans="1:33" ht="19" x14ac:dyDescent="0.2">
      <c r="A2" s="15"/>
      <c r="B2" s="55"/>
      <c r="C2" s="208"/>
      <c r="D2" s="55"/>
      <c r="E2" s="55"/>
      <c r="F2" s="55"/>
      <c r="G2" s="255"/>
      <c r="H2" s="255"/>
      <c r="I2" s="255"/>
      <c r="J2" s="255"/>
      <c r="K2" s="55"/>
      <c r="L2" s="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/>
      <c r="AC2" s="255"/>
      <c r="AD2" s="255"/>
      <c r="AE2"/>
      <c r="AG2" s="3"/>
    </row>
    <row r="3" spans="1:33" ht="27" customHeight="1" x14ac:dyDescent="0.2">
      <c r="A3" s="4" t="s">
        <v>167</v>
      </c>
      <c r="B3" s="4" t="s">
        <v>38</v>
      </c>
      <c r="G3" s="229"/>
      <c r="H3" s="229"/>
      <c r="I3" s="229"/>
      <c r="J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/>
      <c r="AC3" s="229"/>
      <c r="AD3" s="229"/>
      <c r="AE3"/>
      <c r="AG3" s="3"/>
    </row>
    <row r="4" spans="1:33" s="56" customFormat="1" x14ac:dyDescent="0.2">
      <c r="A4" s="19"/>
      <c r="B4" s="228" t="s">
        <v>226</v>
      </c>
      <c r="C4" s="6" t="s">
        <v>246</v>
      </c>
      <c r="D4" s="6" t="s">
        <v>246</v>
      </c>
      <c r="E4" s="6" t="s">
        <v>227</v>
      </c>
      <c r="F4" s="6" t="s">
        <v>37</v>
      </c>
      <c r="G4" s="6" t="s">
        <v>37</v>
      </c>
      <c r="H4" s="6" t="s">
        <v>41</v>
      </c>
      <c r="I4" s="6" t="s">
        <v>216</v>
      </c>
      <c r="J4" s="6" t="s">
        <v>37</v>
      </c>
      <c r="K4" s="6" t="s">
        <v>216</v>
      </c>
      <c r="L4" s="6" t="s">
        <v>216</v>
      </c>
      <c r="M4"/>
      <c r="N4" s="6" t="s">
        <v>247</v>
      </c>
      <c r="O4" s="6" t="s">
        <v>44</v>
      </c>
      <c r="P4" s="6" t="s">
        <v>248</v>
      </c>
      <c r="Q4" s="6" t="s">
        <v>248</v>
      </c>
      <c r="R4" s="6" t="s">
        <v>248</v>
      </c>
      <c r="S4" s="6" t="s">
        <v>249</v>
      </c>
      <c r="T4" s="6" t="s">
        <v>249</v>
      </c>
      <c r="U4" s="6" t="s">
        <v>249</v>
      </c>
      <c r="V4" s="6" t="s">
        <v>48</v>
      </c>
      <c r="W4" s="6" t="s">
        <v>48</v>
      </c>
      <c r="X4" s="6" t="s">
        <v>48</v>
      </c>
      <c r="Y4" s="6" t="s">
        <v>49</v>
      </c>
      <c r="Z4" s="6" t="s">
        <v>49</v>
      </c>
      <c r="AA4" s="6" t="s">
        <v>49</v>
      </c>
      <c r="AB4" s="6" t="s">
        <v>41</v>
      </c>
      <c r="AC4" s="6" t="s">
        <v>41</v>
      </c>
      <c r="AD4" s="6" t="s">
        <v>41</v>
      </c>
      <c r="AE4" s="268"/>
      <c r="AF4" s="268"/>
      <c r="AG4" s="4"/>
    </row>
    <row r="5" spans="1:33" s="56" customFormat="1" x14ac:dyDescent="0.2">
      <c r="A5" s="19"/>
      <c r="B5" s="228"/>
      <c r="C5" s="6" t="s">
        <v>228</v>
      </c>
      <c r="D5" s="6" t="s">
        <v>112</v>
      </c>
      <c r="E5" s="6" t="s">
        <v>229</v>
      </c>
      <c r="F5" s="6" t="s">
        <v>40</v>
      </c>
      <c r="G5" s="6" t="s">
        <v>40</v>
      </c>
      <c r="H5" s="6" t="s">
        <v>76</v>
      </c>
      <c r="I5" s="6" t="s">
        <v>76</v>
      </c>
      <c r="J5" s="6" t="s">
        <v>228</v>
      </c>
      <c r="K5" s="6" t="s">
        <v>250</v>
      </c>
      <c r="L5" s="6" t="s">
        <v>219</v>
      </c>
      <c r="M5"/>
      <c r="N5" s="6" t="s">
        <v>251</v>
      </c>
      <c r="O5" s="6" t="s">
        <v>219</v>
      </c>
      <c r="P5" s="6" t="s">
        <v>219</v>
      </c>
      <c r="Q5" s="6" t="s">
        <v>252</v>
      </c>
      <c r="R5" s="6" t="s">
        <v>253</v>
      </c>
      <c r="S5" s="6" t="s">
        <v>219</v>
      </c>
      <c r="T5" s="6" t="s">
        <v>252</v>
      </c>
      <c r="U5" s="6" t="s">
        <v>253</v>
      </c>
      <c r="V5" s="6" t="s">
        <v>219</v>
      </c>
      <c r="W5" s="6" t="s">
        <v>252</v>
      </c>
      <c r="X5" s="6" t="s">
        <v>253</v>
      </c>
      <c r="Y5" s="6" t="s">
        <v>219</v>
      </c>
      <c r="Z5" s="6" t="s">
        <v>252</v>
      </c>
      <c r="AA5" s="6" t="s">
        <v>253</v>
      </c>
      <c r="AB5" s="6" t="s">
        <v>219</v>
      </c>
      <c r="AC5" s="6" t="s">
        <v>252</v>
      </c>
      <c r="AD5" s="6" t="s">
        <v>253</v>
      </c>
      <c r="AE5" s="268"/>
      <c r="AF5" s="268"/>
      <c r="AG5" s="4"/>
    </row>
    <row r="6" spans="1:33" s="56" customFormat="1" x14ac:dyDescent="0.2">
      <c r="A6" s="247" t="s">
        <v>51</v>
      </c>
      <c r="B6" s="227"/>
      <c r="C6" s="8"/>
      <c r="D6" s="8"/>
      <c r="E6" s="8"/>
      <c r="F6" s="8" t="s">
        <v>254</v>
      </c>
      <c r="G6" s="8" t="s">
        <v>255</v>
      </c>
      <c r="H6" s="8"/>
      <c r="I6" s="8" t="s">
        <v>255</v>
      </c>
      <c r="J6" s="8" t="s">
        <v>255</v>
      </c>
      <c r="K6" s="8" t="s">
        <v>255</v>
      </c>
      <c r="L6" s="8" t="s">
        <v>255</v>
      </c>
      <c r="M6"/>
      <c r="N6" s="8" t="s">
        <v>256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268"/>
      <c r="AF6" s="268"/>
      <c r="AG6" s="4"/>
    </row>
    <row r="7" spans="1:33" x14ac:dyDescent="0.2">
      <c r="A7" s="32" t="s">
        <v>233</v>
      </c>
      <c r="B7" s="254">
        <f>SUMIF('Invulblad WB'!$AD:$AD,$AG7,'Invulblad WB'!$E:$E)</f>
        <v>0</v>
      </c>
      <c r="C7" s="246">
        <f>IF(B7=0,0,SUMIF('Invulblad WB'!$AD:$AD,$AG7,'Invulblad WB'!$Y:$Y)/$B7)</f>
        <v>0</v>
      </c>
      <c r="D7" s="245">
        <f>IF(B7=0,0,SUMIF('Invulblad WB'!$AD:$AD,$AG7,'Invulblad WB'!$X:$X)/$B7)</f>
        <v>0</v>
      </c>
      <c r="E7" s="9" t="str">
        <f>IF(B7=0,"-",C7/D7)</f>
        <v>-</v>
      </c>
      <c r="F7" s="240">
        <f>IF(B7=0,0,SUMIF('Invulblad WB'!$AD:$AD,$AG7,'Invulblad WB'!$AE:$AE)/$B7)</f>
        <v>0</v>
      </c>
      <c r="G7" s="240">
        <f>IF(B7=0,0,F7/1.21)</f>
        <v>0</v>
      </c>
      <c r="H7" s="240">
        <f>IF(B7=0,0,SUMIF('Invulblad WB'!$AD:$AD,$AG7,'Invulblad WB'!$AF:$AF)/$B7)</f>
        <v>0</v>
      </c>
      <c r="I7" s="240">
        <f>IF(B7=0,0,SUMIF('Invulblad WB'!$AD:$AD,$AG7,'Invulblad WB'!$AG:$AG)/$B7)</f>
        <v>0</v>
      </c>
      <c r="J7" s="240">
        <f>IF(B7=0,0,F7/$C7)</f>
        <v>0</v>
      </c>
      <c r="K7" s="240">
        <f>IF(B7=0,0,I7/$C7)</f>
        <v>0</v>
      </c>
      <c r="L7" s="240">
        <f>IF(D7=0,0,I7/$D7)</f>
        <v>0</v>
      </c>
      <c r="N7" s="9" t="str">
        <f>IF($B7=0,"-",IF(SUMIF('Invulblad WB'!$AD$5:$AD$13,$A$3&amp;$A7,'Invulblad WB'!$AE$5:$AE$13)=0,"-",SUMIF('Invulblad WB'!$AD$5:$AD$13,$A$3&amp;$A7,'Invulblad WB'!$AH$5:$AH$13)/SUMIF('Invulblad WB'!$AD$5:$AD$13,$A$3&amp;$A7,'Invulblad WB'!$AE$5:$AE$13)))</f>
        <v>-</v>
      </c>
      <c r="O7" s="240" t="str">
        <f>IF($B7=0,"-",SUMIF('Invulblad WB'!$AD:$AD,$AG7,'Invulblad WB'!$AJ:$AJ)/SUMIF('Invulblad WB'!$AD:$AD,$AG7,'Invulblad WB'!$X:$X))</f>
        <v>-</v>
      </c>
      <c r="P7" s="240" t="str">
        <f>IF($B7=0,"-",SUMIF('Invulblad WB'!$AD:$AD,$AG7,'Invulblad WB'!$AL:$AL)/SUMIF('Invulblad WB'!$AD:$AD,$AG7,'Invulblad WB'!$X:$X))</f>
        <v>-</v>
      </c>
      <c r="Q7" s="9" t="str">
        <f>IF($B7=0,"-",SUMIF('Invulblad WB'!$AD:$AD,$AG7,'Invulblad WB'!$AL:$AL)/SUMIF('Invulblad WB'!$AD:$AD,$AG7,'Invulblad WB'!$AJ:$AJ))</f>
        <v>-</v>
      </c>
      <c r="R7" s="9" t="str">
        <f>IF($B7=0,"-",SUMIF('Invulblad WB'!$AD:$AD,$AG7,'Invulblad WB'!$AL:$AL)/SUMIF('Invulblad WB'!$AD:$AD,$AG7,'Invulblad WB'!$Z:$Z))</f>
        <v>-</v>
      </c>
      <c r="S7" s="240" t="str">
        <f>IF($B7=0,"-",SUMIF('Invulblad WB'!$AD:$AD,$AG7,'Invulblad WB'!$AM:$AM)/SUMIF('Invulblad WB'!$AD:$AD,$AG7,'Invulblad WB'!$X:$X))</f>
        <v>-</v>
      </c>
      <c r="T7" s="9" t="str">
        <f>IF($B7=0,"-",SUMIF('Invulblad WB'!$AD:$AD,$AG7,'Invulblad WB'!$AM:$AM)/SUMIF('Invulblad WB'!$AD:$AD,$AG7,'Invulblad WB'!$AJ:$AJ))</f>
        <v>-</v>
      </c>
      <c r="U7" s="9" t="str">
        <f>IF($B7=0,"-",SUMIF('Invulblad WB'!$AD:$AD,$AG7,'Invulblad WB'!$AM:$AM)/SUMIF('Invulblad WB'!$AD:$AD,$AG7,'Invulblad WB'!$Z:$Z))</f>
        <v>-</v>
      </c>
      <c r="V7" s="240" t="str">
        <f>IF($B7=0,"-",SUMIF('Invulblad WB'!$AD:$AD,$AG7,'Invulblad WB'!$AN:$AN)/SUMIF('Invulblad WB'!$AD:$AD,$AG7,'Invulblad WB'!$X:$X))</f>
        <v>-</v>
      </c>
      <c r="W7" s="9" t="str">
        <f>IF($B7=0,"-",SUMIF('Invulblad WB'!$AD:$AD,$AG7,'Invulblad WB'!$AN:$AN)/SUMIF('Invulblad WB'!$AD:$AD,$AG7,'Invulblad WB'!$AJ:$AJ))</f>
        <v>-</v>
      </c>
      <c r="X7" s="9" t="str">
        <f>IF($B7=0,"-",SUMIF('Invulblad WB'!$AD:$AD,$AG7,'Invulblad WB'!$AN:$AN)/SUMIF('Invulblad WB'!$AD:$AD,$AG7,'Invulblad WB'!$Z:$Z))</f>
        <v>-</v>
      </c>
      <c r="Y7" s="240" t="str">
        <f>IF($B7=0,"-",SUMIF('Invulblad WB'!$AD:$AD,$AG7,'Invulblad WB'!$AO:$AO)/SUMIF('Invulblad WB'!$AD:$AD,$AG7,'Invulblad WB'!$X:$X))</f>
        <v>-</v>
      </c>
      <c r="Z7" s="9" t="str">
        <f>IF($B7=0,"-",SUMIF('Invulblad WB'!$AD:$AD,$AG7,'Invulblad WB'!$AO:$AO)/SUMIF('Invulblad WB'!$AD:$AD,$AG7,'Invulblad WB'!$AJ:$AJ))</f>
        <v>-</v>
      </c>
      <c r="AA7" s="9" t="str">
        <f>IF($B7=0,"-",SUMIF('Invulblad WB'!$AD:$AD,$AG7,'Invulblad WB'!$AO:$AO)/SUMIF('Invulblad WB'!$AD:$AD,$AG7,'Invulblad WB'!$Z:$Z))</f>
        <v>-</v>
      </c>
      <c r="AB7" s="240" t="str">
        <f>IF($B7=0,"-",SUMIF('Invulblad WB'!$AD:$AD,$AG7,'Invulblad WB'!$AF:$AF)/SUMIF('Invulblad WB'!$AD:$AD,$AG7,'Invulblad WB'!$X:$X))</f>
        <v>-</v>
      </c>
      <c r="AC7" s="9" t="str">
        <f>IF($B7=0,"-",SUMIF('Invulblad WB'!$AD:$AD,$AG7,'Invulblad WB'!$AF:$AF)/SUMIF('Invulblad WB'!$AD:$AD,$AG7,'Invulblad WB'!$AJ:$AJ))</f>
        <v>-</v>
      </c>
      <c r="AD7" s="9" t="str">
        <f>IF($B7=0,"-",SUMIF('Invulblad WB'!$AD:$AD,$AG7,'Invulblad WB'!$AF:$AF)/SUMIF('Invulblad WB'!$AD:$AD,$AG7,'Invulblad WB'!$Z:$Z))</f>
        <v>-</v>
      </c>
      <c r="AE7"/>
      <c r="AG7" s="3" t="str">
        <f>$A$3&amp;A7</f>
        <v>EengezinsSociale huur (tot € 900,-)</v>
      </c>
    </row>
    <row r="8" spans="1:33" x14ac:dyDescent="0.2">
      <c r="A8" s="33" t="s">
        <v>234</v>
      </c>
      <c r="B8" s="242">
        <f>SUMIF('Invulblad WB'!$AD:$AD,$AG8,'Invulblad WB'!$E:$E)</f>
        <v>0</v>
      </c>
      <c r="C8" s="246">
        <f>IF(B8=0,0,SUMIF('Invulblad WB'!$AD:$AD,$AG8,'Invulblad WB'!$Y:$Y)/$B8)</f>
        <v>0</v>
      </c>
      <c r="D8" s="245">
        <f>IF(B8=0,0,SUMIF('Invulblad WB'!$AD:$AD,$AG8,'Invulblad WB'!$X:$X)/$B8)</f>
        <v>0</v>
      </c>
      <c r="E8" s="12" t="str">
        <f>IF(B8=0,"-",C8/D8)</f>
        <v>-</v>
      </c>
      <c r="F8" s="240">
        <f>IF(B8=0,0,SUMIF('Invulblad WB'!$AD:$AD,$AG8,'Invulblad WB'!$AE:$AE)/$B8)</f>
        <v>0</v>
      </c>
      <c r="G8" s="223">
        <f>IF(B8=0,0,F8/1.21)</f>
        <v>0</v>
      </c>
      <c r="H8" s="240">
        <f>IF(B8=0,0,SUMIF('Invulblad WB'!$AD:$AD,$AG8,'Invulblad WB'!$AF:$AF)/$B8)</f>
        <v>0</v>
      </c>
      <c r="I8" s="240">
        <f>IF(B8=0,0,SUMIF('Invulblad WB'!$AD:$AD,$AG8,'Invulblad WB'!$AG:$AG)/$B8)</f>
        <v>0</v>
      </c>
      <c r="J8" s="240">
        <f>IF(B8=0,0,F8/$C8)</f>
        <v>0</v>
      </c>
      <c r="K8" s="223">
        <f>IF(B8=0,0,I8/$C8)</f>
        <v>0</v>
      </c>
      <c r="L8" s="223">
        <f>IF(D8=0,0,I8/$D8)</f>
        <v>0</v>
      </c>
      <c r="N8" s="9" t="str">
        <f>IF($B8=0,"-",IF(SUMIF('Invulblad WB'!$AD$5:$AD$13,$A$3&amp;$A8,'Invulblad WB'!$AE$5:$AE$13)=0,"-",SUMIF('Invulblad WB'!$AD$5:$AD$13,$A$3&amp;$A8,'Invulblad WB'!$AH$5:$AH$13)/SUMIF('Invulblad WB'!$AD$5:$AD$13,$A$3&amp;$A8,'Invulblad WB'!$AE$5:$AE$13)))</f>
        <v>-</v>
      </c>
      <c r="O8" s="240" t="str">
        <f>IF($B8=0,"-",SUMIF('Invulblad WB'!$AD:$AD,$AG8,'Invulblad WB'!$AJ:$AJ)/SUMIF('Invulblad WB'!$AD:$AD,$AG8,'Invulblad WB'!$X:$X))</f>
        <v>-</v>
      </c>
      <c r="P8" s="240" t="str">
        <f>IF($B8=0,"-",SUMIF('Invulblad WB'!$AD:$AD,$AG8,'Invulblad WB'!$AL:$AL)/SUMIF('Invulblad WB'!$AD:$AD,$AG8,'Invulblad WB'!$X:$X))</f>
        <v>-</v>
      </c>
      <c r="Q8" s="9" t="str">
        <f>IF($B8=0,"-",SUMIF('Invulblad WB'!$AD:$AD,$AG8,'Invulblad WB'!$AL:$AL)/SUMIF('Invulblad WB'!$AD:$AD,$AG8,'Invulblad WB'!$AJ:$AJ))</f>
        <v>-</v>
      </c>
      <c r="R8" s="9" t="str">
        <f>IF($B8=0,"-",SUMIF('Invulblad WB'!$AD:$AD,$AG8,'Invulblad WB'!$AL:$AL)/SUMIF('Invulblad WB'!$AD:$AD,$AG8,'Invulblad WB'!$Z:$Z))</f>
        <v>-</v>
      </c>
      <c r="S8" s="240" t="str">
        <f>IF($B8=0,"-",SUMIF('Invulblad WB'!$AD:$AD,$AG8,'Invulblad WB'!$AM:$AM)/SUMIF('Invulblad WB'!$AD:$AD,$AG8,'Invulblad WB'!$X:$X))</f>
        <v>-</v>
      </c>
      <c r="T8" s="9" t="str">
        <f>IF($B8=0,"-",SUMIF('Invulblad WB'!$AD:$AD,$AG8,'Invulblad WB'!$AM:$AM)/SUMIF('Invulblad WB'!$AD:$AD,$AG8,'Invulblad WB'!$AJ:$AJ))</f>
        <v>-</v>
      </c>
      <c r="U8" s="9" t="str">
        <f>IF($B8=0,"-",SUMIF('Invulblad WB'!$AD:$AD,$AG8,'Invulblad WB'!$AM:$AM)/SUMIF('Invulblad WB'!$AD:$AD,$AG8,'Invulblad WB'!$Z:$Z))</f>
        <v>-</v>
      </c>
      <c r="V8" s="240" t="str">
        <f>IF($B8=0,"-",SUMIF('Invulblad WB'!$AD:$AD,$AG8,'Invulblad WB'!$AN:$AN)/SUMIF('Invulblad WB'!$AD:$AD,$AG8,'Invulblad WB'!$X:$X))</f>
        <v>-</v>
      </c>
      <c r="W8" s="9" t="str">
        <f>IF($B8=0,"-",SUMIF('Invulblad WB'!$AD:$AD,$AG8,'Invulblad WB'!$AN:$AN)/SUMIF('Invulblad WB'!$AD:$AD,$AG8,'Invulblad WB'!$AJ:$AJ))</f>
        <v>-</v>
      </c>
      <c r="X8" s="9" t="str">
        <f>IF($B8=0,"-",SUMIF('Invulblad WB'!$AD:$AD,$AG8,'Invulblad WB'!$AN:$AN)/SUMIF('Invulblad WB'!$AD:$AD,$AG8,'Invulblad WB'!$Z:$Z))</f>
        <v>-</v>
      </c>
      <c r="Y8" s="240" t="str">
        <f>IF($B8=0,"-",SUMIF('Invulblad WB'!$AD:$AD,$AG8,'Invulblad WB'!$AO:$AO)/SUMIF('Invulblad WB'!$AD:$AD,$AG8,'Invulblad WB'!$X:$X))</f>
        <v>-</v>
      </c>
      <c r="Z8" s="9" t="str">
        <f>IF($B8=0,"-",SUMIF('Invulblad WB'!$AD:$AD,$AG8,'Invulblad WB'!$AO:$AO)/SUMIF('Invulblad WB'!$AD:$AD,$AG8,'Invulblad WB'!$AJ:$AJ))</f>
        <v>-</v>
      </c>
      <c r="AA8" s="9" t="str">
        <f>IF($B8=0,"-",SUMIF('Invulblad WB'!$AD:$AD,$AG8,'Invulblad WB'!$AO:$AO)/SUMIF('Invulblad WB'!$AD:$AD,$AG8,'Invulblad WB'!$Z:$Z))</f>
        <v>-</v>
      </c>
      <c r="AB8" s="240" t="str">
        <f>IF($B8=0,"-",SUMIF('Invulblad WB'!$AD:$AD,$AG8,'Invulblad WB'!$AF:$AF)/SUMIF('Invulblad WB'!$AD:$AD,$AG8,'Invulblad WB'!$X:$X))</f>
        <v>-</v>
      </c>
      <c r="AC8" s="9" t="str">
        <f>IF($B8=0,"-",SUMIF('Invulblad WB'!$AD:$AD,$AG8,'Invulblad WB'!$AF:$AF)/SUMIF('Invulblad WB'!$AD:$AD,$AG8,'Invulblad WB'!$AJ:$AJ))</f>
        <v>-</v>
      </c>
      <c r="AD8" s="9" t="str">
        <f>IF($B8=0,"-",SUMIF('Invulblad WB'!$AD:$AD,$AG8,'Invulblad WB'!$AF:$AF)/SUMIF('Invulblad WB'!$AD:$AD,$AG8,'Invulblad WB'!$Z:$Z))</f>
        <v>-</v>
      </c>
      <c r="AE8"/>
      <c r="AG8" s="3" t="str">
        <f>$A$3&amp;A8</f>
        <v>EengezinsMiddenhuur (van € 900 tot € 1.184)</v>
      </c>
    </row>
    <row r="9" spans="1:33" ht="16" thickBot="1" x14ac:dyDescent="0.25">
      <c r="A9" s="259" t="s">
        <v>235</v>
      </c>
      <c r="B9" s="222">
        <f>SUMIF('Invulblad WB'!$AD:$AD,$AG9,'Invulblad WB'!$E:$E)</f>
        <v>0</v>
      </c>
      <c r="C9" s="260">
        <f>IF(B9=0,0,SUMIF('Invulblad WB'!$AD:$AD,$AG9,'Invulblad WB'!$Y:$Y)/$B9)</f>
        <v>0</v>
      </c>
      <c r="D9" s="261">
        <f>IF(B9=0,0,SUMIF('Invulblad WB'!$AD:$AD,$AG9,'Invulblad WB'!$X:$X)/$B9)</f>
        <v>0</v>
      </c>
      <c r="E9" s="257" t="str">
        <f>IF(B9=0,"-",C9/D9)</f>
        <v>-</v>
      </c>
      <c r="F9" s="262">
        <f>IF(B9=0,0,SUMIF('Invulblad WB'!$AD:$AD,$AG9,'Invulblad WB'!$AE:$AE)/$B9)</f>
        <v>0</v>
      </c>
      <c r="G9" s="258">
        <f>IF(B9=0,0,F9/1.21)</f>
        <v>0</v>
      </c>
      <c r="H9" s="262">
        <f>IF(B9=0,0,SUMIF('Invulblad WB'!$AD:$AD,$AG9,'Invulblad WB'!$AF:$AF)/$B9)</f>
        <v>0</v>
      </c>
      <c r="I9" s="262">
        <f>IF(B9=0,0,SUMIF('Invulblad WB'!$AD:$AD,$AG9,'Invulblad WB'!$AG:$AG)/$B9)</f>
        <v>0</v>
      </c>
      <c r="J9" s="262">
        <f>IF(B9=0,0,F9/$C9)</f>
        <v>0</v>
      </c>
      <c r="K9" s="258">
        <f>IF(B9=0,0,I9/$C9)</f>
        <v>0</v>
      </c>
      <c r="L9" s="258">
        <f>IF(D9=0,0,I9/$D9)</f>
        <v>0</v>
      </c>
      <c r="N9" s="263" t="str">
        <f>IF($B9=0,"-",IF(SUMIF('Invulblad WB'!$AD$5:$AD$13,$A$3&amp;$A9,'Invulblad WB'!$AE$5:$AE$13)=0,"-",SUMIF('Invulblad WB'!$AD$5:$AD$13,$A$3&amp;$A9,'Invulblad WB'!$AH$5:$AH$13)/SUMIF('Invulblad WB'!$AD$5:$AD$13,$A$3&amp;$A9,'Invulblad WB'!$AE$5:$AE$13)))</f>
        <v>-</v>
      </c>
      <c r="O9" s="262" t="str">
        <f>IF($B9=0,"-",SUMIF('Invulblad WB'!$AD:$AD,$AG9,'Invulblad WB'!$AJ:$AJ)/SUMIF('Invulblad WB'!$AD:$AD,$AG9,'Invulblad WB'!$X:$X))</f>
        <v>-</v>
      </c>
      <c r="P9" s="262" t="str">
        <f>IF($B9=0,"-",SUMIF('Invulblad WB'!$AD:$AD,$AG9,'Invulblad WB'!$AL:$AL)/SUMIF('Invulblad WB'!$AD:$AD,$AG9,'Invulblad WB'!$X:$X))</f>
        <v>-</v>
      </c>
      <c r="Q9" s="263" t="str">
        <f>IF($B9=0,"-",SUMIF('Invulblad WB'!$AD:$AD,$AG9,'Invulblad WB'!$AL:$AL)/SUMIF('Invulblad WB'!$AD:$AD,$AG9,'Invulblad WB'!$AJ:$AJ))</f>
        <v>-</v>
      </c>
      <c r="R9" s="263" t="str">
        <f>IF($B9=0,"-",SUMIF('Invulblad WB'!$AD:$AD,$AG9,'Invulblad WB'!$AL:$AL)/SUMIF('Invulblad WB'!$AD:$AD,$AG9,'Invulblad WB'!$Z:$Z))</f>
        <v>-</v>
      </c>
      <c r="S9" s="262" t="str">
        <f>IF($B9=0,"-",SUMIF('Invulblad WB'!$AD:$AD,$AG9,'Invulblad WB'!$AM:$AM)/SUMIF('Invulblad WB'!$AD:$AD,$AG9,'Invulblad WB'!$X:$X))</f>
        <v>-</v>
      </c>
      <c r="T9" s="263" t="str">
        <f>IF($B9=0,"-",SUMIF('Invulblad WB'!$AD:$AD,$AG9,'Invulblad WB'!$AM:$AM)/SUMIF('Invulblad WB'!$AD:$AD,$AG9,'Invulblad WB'!$AJ:$AJ))</f>
        <v>-</v>
      </c>
      <c r="U9" s="263" t="str">
        <f>IF($B9=0,"-",SUMIF('Invulblad WB'!$AD:$AD,$AG9,'Invulblad WB'!$AM:$AM)/SUMIF('Invulblad WB'!$AD:$AD,$AG9,'Invulblad WB'!$Z:$Z))</f>
        <v>-</v>
      </c>
      <c r="V9" s="262" t="str">
        <f>IF($B9=0,"-",SUMIF('Invulblad WB'!$AD:$AD,$AG9,'Invulblad WB'!$AN:$AN)/SUMIF('Invulblad WB'!$AD:$AD,$AG9,'Invulblad WB'!$X:$X))</f>
        <v>-</v>
      </c>
      <c r="W9" s="263" t="str">
        <f>IF($B9=0,"-",SUMIF('Invulblad WB'!$AD:$AD,$AG9,'Invulblad WB'!$AN:$AN)/SUMIF('Invulblad WB'!$AD:$AD,$AG9,'Invulblad WB'!$AJ:$AJ))</f>
        <v>-</v>
      </c>
      <c r="X9" s="263" t="str">
        <f>IF($B9=0,"-",SUMIF('Invulblad WB'!$AD:$AD,$AG9,'Invulblad WB'!$AN:$AN)/SUMIF('Invulblad WB'!$AD:$AD,$AG9,'Invulblad WB'!$Z:$Z))</f>
        <v>-</v>
      </c>
      <c r="Y9" s="262" t="str">
        <f>IF($B9=0,"-",SUMIF('Invulblad WB'!$AD:$AD,$AG9,'Invulblad WB'!$AO:$AO)/SUMIF('Invulblad WB'!$AD:$AD,$AG9,'Invulblad WB'!$X:$X))</f>
        <v>-</v>
      </c>
      <c r="Z9" s="263" t="str">
        <f>IF($B9=0,"-",SUMIF('Invulblad WB'!$AD:$AD,$AG9,'Invulblad WB'!$AO:$AO)/SUMIF('Invulblad WB'!$AD:$AD,$AG9,'Invulblad WB'!$AJ:$AJ))</f>
        <v>-</v>
      </c>
      <c r="AA9" s="263" t="str">
        <f>IF($B9=0,"-",SUMIF('Invulblad WB'!$AD:$AD,$AG9,'Invulblad WB'!$AO:$AO)/SUMIF('Invulblad WB'!$AD:$AD,$AG9,'Invulblad WB'!$Z:$Z))</f>
        <v>-</v>
      </c>
      <c r="AB9" s="262" t="str">
        <f>IF($B9=0,"-",SUMIF('Invulblad WB'!$AD:$AD,$AG9,'Invulblad WB'!$AF:$AF)/SUMIF('Invulblad WB'!$AD:$AD,$AG9,'Invulblad WB'!$X:$X))</f>
        <v>-</v>
      </c>
      <c r="AC9" s="263" t="str">
        <f>IF($B9=0,"-",SUMIF('Invulblad WB'!$AD:$AD,$AG9,'Invulblad WB'!$AF:$AF)/SUMIF('Invulblad WB'!$AD:$AD,$AG9,'Invulblad WB'!$AJ:$AJ))</f>
        <v>-</v>
      </c>
      <c r="AD9" s="263" t="str">
        <f>IF($B9=0,"-",SUMIF('Invulblad WB'!$AD:$AD,$AG9,'Invulblad WB'!$AF:$AF)/SUMIF('Invulblad WB'!$AD:$AD,$AG9,'Invulblad WB'!$Z:$Z))</f>
        <v>-</v>
      </c>
      <c r="AE9"/>
      <c r="AG9" s="3" t="str">
        <f>$A$3&amp;A9</f>
        <v>EengezinsDure huur (vanaf € 1.184)</v>
      </c>
    </row>
    <row r="10" spans="1:33" ht="16" thickTop="1" x14ac:dyDescent="0.2">
      <c r="B10" s="2"/>
      <c r="N10" s="2"/>
      <c r="AE10"/>
      <c r="AG10" s="3"/>
    </row>
    <row r="11" spans="1:33" s="56" customFormat="1" x14ac:dyDescent="0.2">
      <c r="A11" s="4" t="s">
        <v>167</v>
      </c>
      <c r="B11" s="4" t="s">
        <v>80</v>
      </c>
      <c r="C11" s="249"/>
      <c r="D11" s="249"/>
      <c r="E11" s="86"/>
      <c r="F11" s="248"/>
      <c r="G11" s="248"/>
      <c r="H11" s="248"/>
      <c r="I11" s="248"/>
      <c r="J11" s="248"/>
      <c r="K11" s="248"/>
      <c r="L11" s="248"/>
      <c r="M11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68"/>
      <c r="AF11" s="268"/>
      <c r="AG11" s="4"/>
    </row>
    <row r="12" spans="1:33" s="56" customFormat="1" x14ac:dyDescent="0.2">
      <c r="A12" s="19"/>
      <c r="B12" s="228" t="s">
        <v>226</v>
      </c>
      <c r="C12" s="6" t="s">
        <v>246</v>
      </c>
      <c r="D12" s="6" t="s">
        <v>246</v>
      </c>
      <c r="E12" s="6" t="s">
        <v>227</v>
      </c>
      <c r="F12" s="6" t="s">
        <v>37</v>
      </c>
      <c r="G12" s="6" t="s">
        <v>37</v>
      </c>
      <c r="H12" s="6" t="s">
        <v>41</v>
      </c>
      <c r="I12" s="6" t="s">
        <v>216</v>
      </c>
      <c r="J12" s="6" t="s">
        <v>37</v>
      </c>
      <c r="K12" s="6" t="s">
        <v>216</v>
      </c>
      <c r="L12" s="6" t="s">
        <v>216</v>
      </c>
      <c r="M12"/>
      <c r="N12" s="6"/>
      <c r="O12" s="6" t="s">
        <v>44</v>
      </c>
      <c r="P12" s="6" t="s">
        <v>248</v>
      </c>
      <c r="Q12" s="6" t="s">
        <v>248</v>
      </c>
      <c r="R12" s="6" t="s">
        <v>248</v>
      </c>
      <c r="S12" s="6" t="s">
        <v>249</v>
      </c>
      <c r="T12" s="6" t="s">
        <v>249</v>
      </c>
      <c r="U12" s="6" t="s">
        <v>249</v>
      </c>
      <c r="V12" s="6" t="s">
        <v>48</v>
      </c>
      <c r="W12" s="6" t="s">
        <v>48</v>
      </c>
      <c r="X12" s="6" t="s">
        <v>48</v>
      </c>
      <c r="Y12" s="6" t="s">
        <v>49</v>
      </c>
      <c r="Z12" s="6" t="s">
        <v>49</v>
      </c>
      <c r="AA12" s="6" t="s">
        <v>49</v>
      </c>
      <c r="AB12" s="6" t="s">
        <v>41</v>
      </c>
      <c r="AC12" s="6" t="s">
        <v>41</v>
      </c>
      <c r="AD12" s="6" t="s">
        <v>41</v>
      </c>
      <c r="AE12" s="268"/>
      <c r="AF12" s="268"/>
      <c r="AG12" s="4"/>
    </row>
    <row r="13" spans="1:33" s="56" customFormat="1" x14ac:dyDescent="0.2">
      <c r="A13" s="19"/>
      <c r="B13" s="228"/>
      <c r="C13" s="6" t="s">
        <v>228</v>
      </c>
      <c r="D13" s="6" t="s">
        <v>112</v>
      </c>
      <c r="E13" s="6" t="s">
        <v>229</v>
      </c>
      <c r="F13" s="6" t="s">
        <v>40</v>
      </c>
      <c r="G13" s="6" t="s">
        <v>40</v>
      </c>
      <c r="H13" s="6" t="s">
        <v>76</v>
      </c>
      <c r="I13" s="6" t="s">
        <v>76</v>
      </c>
      <c r="J13" s="6" t="s">
        <v>228</v>
      </c>
      <c r="K13" s="6" t="s">
        <v>250</v>
      </c>
      <c r="L13" s="6" t="s">
        <v>219</v>
      </c>
      <c r="M13"/>
      <c r="N13" s="6"/>
      <c r="O13" s="6" t="s">
        <v>219</v>
      </c>
      <c r="P13" s="6" t="s">
        <v>219</v>
      </c>
      <c r="Q13" s="6" t="s">
        <v>252</v>
      </c>
      <c r="R13" s="6" t="s">
        <v>253</v>
      </c>
      <c r="S13" s="6" t="s">
        <v>219</v>
      </c>
      <c r="T13" s="6" t="s">
        <v>252</v>
      </c>
      <c r="U13" s="6" t="s">
        <v>253</v>
      </c>
      <c r="V13" s="6" t="s">
        <v>219</v>
      </c>
      <c r="W13" s="6" t="s">
        <v>252</v>
      </c>
      <c r="X13" s="6" t="s">
        <v>253</v>
      </c>
      <c r="Y13" s="6" t="s">
        <v>219</v>
      </c>
      <c r="Z13" s="6" t="s">
        <v>252</v>
      </c>
      <c r="AA13" s="6" t="s">
        <v>253</v>
      </c>
      <c r="AB13" s="6" t="s">
        <v>219</v>
      </c>
      <c r="AC13" s="6" t="s">
        <v>252</v>
      </c>
      <c r="AD13" s="6" t="s">
        <v>253</v>
      </c>
      <c r="AE13" s="268"/>
      <c r="AF13" s="268"/>
      <c r="AG13" s="4"/>
    </row>
    <row r="14" spans="1:33" s="56" customFormat="1" x14ac:dyDescent="0.2">
      <c r="A14" s="247" t="s">
        <v>51</v>
      </c>
      <c r="B14" s="227"/>
      <c r="C14" s="8"/>
      <c r="D14" s="8"/>
      <c r="E14" s="8"/>
      <c r="F14" s="8" t="s">
        <v>254</v>
      </c>
      <c r="G14" s="8" t="s">
        <v>255</v>
      </c>
      <c r="H14" s="8"/>
      <c r="I14" s="8" t="s">
        <v>255</v>
      </c>
      <c r="J14" s="8" t="s">
        <v>255</v>
      </c>
      <c r="K14" s="8" t="s">
        <v>255</v>
      </c>
      <c r="L14" s="8" t="s">
        <v>255</v>
      </c>
      <c r="M14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268"/>
      <c r="AF14" s="268"/>
      <c r="AG14" s="4"/>
    </row>
    <row r="15" spans="1:33" x14ac:dyDescent="0.2">
      <c r="A15" s="32" t="s">
        <v>236</v>
      </c>
      <c r="B15" s="242">
        <f>SUMIF('Invulblad WB'!$AD:$AD,$AG15,'Invulblad WB'!$E:$E)</f>
        <v>0</v>
      </c>
      <c r="C15" s="246">
        <f>IF(B15=0,0,SUMIF('Invulblad WB'!$AD:$AD,$AG15,'Invulblad WB'!$Y:$Y)/$B15)</f>
        <v>0</v>
      </c>
      <c r="D15" s="245">
        <f>IF(B15=0,0,SUMIF('Invulblad WB'!$AD:$AD,$AG15,'Invulblad WB'!$X:$X)/$B15)</f>
        <v>0</v>
      </c>
      <c r="E15" s="9" t="str">
        <f>IF(B15=0,"-",C15/D15)</f>
        <v>-</v>
      </c>
      <c r="F15" s="240">
        <f>IF(B15=0,0,SUMIF('Invulblad WB'!$AD:$AD,$AG15,'Invulblad WB'!$AE:$AE)/$B15)</f>
        <v>0</v>
      </c>
      <c r="G15" s="240">
        <f>IF(B15=0,0,F15/1.21)</f>
        <v>0</v>
      </c>
      <c r="H15" s="240">
        <f>IF(B15=0,0,SUMIF('Invulblad WB'!$AD:$AD,$AG15,'Invulblad WB'!$AF:$AF)/$B15)</f>
        <v>0</v>
      </c>
      <c r="I15" s="240">
        <f>IF(B15=0,0,SUMIF('Invulblad WB'!$AD:$AD,$AG15,'Invulblad WB'!$AG:$AG)/$B15)</f>
        <v>0</v>
      </c>
      <c r="J15" s="240">
        <f>IF(B15=0,0,F15/$C15)</f>
        <v>0</v>
      </c>
      <c r="K15" s="240">
        <f>IF(B15=0,0,I15/$C15)</f>
        <v>0</v>
      </c>
      <c r="L15" s="240">
        <f>IF(D15=0,0,I15/$D15)</f>
        <v>0</v>
      </c>
      <c r="N15" s="9"/>
      <c r="O15" s="240" t="str">
        <f>IF($B15=0,"-",SUMIF('Invulblad WB'!$AD:$AD,$AG15,'Invulblad WB'!$AJ:$AJ)/SUMIF('Invulblad WB'!$AD:$AD,$AG15,'Invulblad WB'!$X:$X))</f>
        <v>-</v>
      </c>
      <c r="P15" s="240" t="str">
        <f>IF($B15=0,"-",SUMIF('Invulblad WB'!$AD:$AD,$AG15,'Invulblad WB'!$AL:$AL)/SUMIF('Invulblad WB'!$AD:$AD,$AG15,'Invulblad WB'!$X:$X))</f>
        <v>-</v>
      </c>
      <c r="Q15" s="9" t="str">
        <f>IF($B15=0,"-",SUMIF('Invulblad WB'!$AD:$AD,$AG15,'Invulblad WB'!$AL:$AL)/SUMIF('Invulblad WB'!$AD:$AD,$AG15,'Invulblad WB'!$AJ:$AJ))</f>
        <v>-</v>
      </c>
      <c r="R15" s="9" t="str">
        <f>IF($B15=0,"-",SUMIF('Invulblad WB'!$AD:$AD,$AG15,'Invulblad WB'!$AL:$AL)/SUMIF('Invulblad WB'!$AD:$AD,$AG15,'Invulblad WB'!$Z:$Z))</f>
        <v>-</v>
      </c>
      <c r="S15" s="240" t="str">
        <f>IF($B15=0,"-",SUMIF('Invulblad WB'!$AD:$AD,$AG15,'Invulblad WB'!$AM:$AM)/SUMIF('Invulblad WB'!$AD:$AD,$AG15,'Invulblad WB'!$X:$X))</f>
        <v>-</v>
      </c>
      <c r="T15" s="9" t="str">
        <f>IF($B15=0,"-",SUMIF('Invulblad WB'!$AD:$AD,$AG15,'Invulblad WB'!$AM:$AM)/SUMIF('Invulblad WB'!$AD:$AD,$AG15,'Invulblad WB'!$AJ:$AJ))</f>
        <v>-</v>
      </c>
      <c r="U15" s="9" t="str">
        <f>IF($B15=0,"-",SUMIF('Invulblad WB'!$AD:$AD,$AG15,'Invulblad WB'!$AM:$AM)/SUMIF('Invulblad WB'!$AD:$AD,$AG15,'Invulblad WB'!$Z:$Z))</f>
        <v>-</v>
      </c>
      <c r="V15" s="240" t="str">
        <f>IF($B15=0,"-",SUMIF('Invulblad WB'!$AD:$AD,$AG15,'Invulblad WB'!$AN:$AN)/SUMIF('Invulblad WB'!$AD:$AD,$AG15,'Invulblad WB'!$X:$X))</f>
        <v>-</v>
      </c>
      <c r="W15" s="9" t="str">
        <f>IF($B15=0,"-",SUMIF('Invulblad WB'!$AD:$AD,$AG15,'Invulblad WB'!$AN:$AN)/SUMIF('Invulblad WB'!$AD:$AD,$AG15,'Invulblad WB'!$AJ:$AJ))</f>
        <v>-</v>
      </c>
      <c r="X15" s="9" t="str">
        <f>IF($B15=0,"-",SUMIF('Invulblad WB'!$AD:$AD,$AG15,'Invulblad WB'!$AN:$AN)/SUMIF('Invulblad WB'!$AD:$AD,$AG15,'Invulblad WB'!$Z:$Z))</f>
        <v>-</v>
      </c>
      <c r="Y15" s="240" t="str">
        <f>IF($B15=0,"-",SUMIF('Invulblad WB'!$AD:$AD,$AG15,'Invulblad WB'!$AO:$AO)/SUMIF('Invulblad WB'!$AD:$AD,$AG15,'Invulblad WB'!$X:$X))</f>
        <v>-</v>
      </c>
      <c r="Z15" s="9" t="str">
        <f>IF($B15=0,"-",SUMIF('Invulblad WB'!$AD:$AD,$AG15,'Invulblad WB'!$AO:$AO)/SUMIF('Invulblad WB'!$AD:$AD,$AG15,'Invulblad WB'!$AJ:$AJ))</f>
        <v>-</v>
      </c>
      <c r="AA15" s="9" t="str">
        <f>IF($B15=0,"-",SUMIF('Invulblad WB'!$AD:$AD,$AG15,'Invulblad WB'!$AO:$AO)/SUMIF('Invulblad WB'!$AD:$AD,$AG15,'Invulblad WB'!$Z:$Z))</f>
        <v>-</v>
      </c>
      <c r="AB15" s="240" t="str">
        <f>IF($B15=0,"-",SUMIF('Invulblad WB'!$AD:$AD,$AG15,'Invulblad WB'!$AF:$AF)/SUMIF('Invulblad WB'!$AD:$AD,$AG15,'Invulblad WB'!$X:$X))</f>
        <v>-</v>
      </c>
      <c r="AC15" s="9" t="str">
        <f>IF($B15=0,"-",SUMIF('Invulblad WB'!$AD:$AD,$AG15,'Invulblad WB'!$AF:$AF)/SUMIF('Invulblad WB'!$AD:$AD,$AG15,'Invulblad WB'!$AJ:$AJ))</f>
        <v>-</v>
      </c>
      <c r="AD15" s="9" t="str">
        <f>IF($B15=0,"-",SUMIF('Invulblad WB'!$AD:$AD,$AG15,'Invulblad WB'!$AF:$AF)/SUMIF('Invulblad WB'!$AD:$AD,$AG15,'Invulblad WB'!$Z:$Z))</f>
        <v>-</v>
      </c>
      <c r="AE15"/>
      <c r="AG15" s="3" t="str">
        <f>$A$3&amp;A15</f>
        <v>EengezinsSociale koop (tot € 240.000)</v>
      </c>
    </row>
    <row r="16" spans="1:33" x14ac:dyDescent="0.2">
      <c r="A16" s="33" t="s">
        <v>237</v>
      </c>
      <c r="B16" s="242">
        <f>SUMIF('Invulblad WB'!$AD:$AD,$AG16,'Invulblad WB'!$E:$E)</f>
        <v>0</v>
      </c>
      <c r="C16" s="246">
        <f>IF(B16=0,0,SUMIF('Invulblad WB'!$AD:$AD,$AG16,'Invulblad WB'!$Y:$Y)/$B16)</f>
        <v>0</v>
      </c>
      <c r="D16" s="245">
        <f>IF(B16=0,0,SUMIF('Invulblad WB'!$AD:$AD,$AG16,'Invulblad WB'!$X:$X)/$B16)</f>
        <v>0</v>
      </c>
      <c r="E16" s="12" t="str">
        <f>IF(B16=0,"-",C16/D16)</f>
        <v>-</v>
      </c>
      <c r="F16" s="240">
        <f>IF(B16=0,0,SUMIF('Invulblad WB'!$AD:$AD,$AG16,'Invulblad WB'!$AE:$AE)/$B16)</f>
        <v>0</v>
      </c>
      <c r="G16" s="223">
        <f>IF(B16=0,0,F16/1.21)</f>
        <v>0</v>
      </c>
      <c r="H16" s="240">
        <f>IF(B16=0,0,SUMIF('Invulblad WB'!$AD:$AD,$AG16,'Invulblad WB'!$AF:$AF)/$B16)</f>
        <v>0</v>
      </c>
      <c r="I16" s="240">
        <f>IF(B16=0,0,SUMIF('Invulblad WB'!$AD:$AD,$AG16,'Invulblad WB'!$AG:$AG)/$B16)</f>
        <v>0</v>
      </c>
      <c r="J16" s="240">
        <f>IF(B16=0,0,F16/$C16)</f>
        <v>0</v>
      </c>
      <c r="K16" s="223">
        <f>IF(B16=0,0,I16/$C16)</f>
        <v>0</v>
      </c>
      <c r="L16" s="223">
        <f>IF(D16=0,0,I16/$D16)</f>
        <v>0</v>
      </c>
      <c r="N16" s="9"/>
      <c r="O16" s="240" t="str">
        <f>IF($B16=0,"-",SUMIF('Invulblad WB'!$AD:$AD,$AG16,'Invulblad WB'!$AJ:$AJ)/SUMIF('Invulblad WB'!$AD:$AD,$AG16,'Invulblad WB'!$X:$X))</f>
        <v>-</v>
      </c>
      <c r="P16" s="240" t="str">
        <f>IF($B16=0,"-",SUMIF('Invulblad WB'!$AD:$AD,$AG16,'Invulblad WB'!$AL:$AL)/SUMIF('Invulblad WB'!$AD:$AD,$AG16,'Invulblad WB'!$X:$X))</f>
        <v>-</v>
      </c>
      <c r="Q16" s="9" t="str">
        <f>IF($B16=0,"-",SUMIF('Invulblad WB'!$AD:$AD,$AG16,'Invulblad WB'!$AL:$AL)/SUMIF('Invulblad WB'!$AD:$AD,$AG16,'Invulblad WB'!$AJ:$AJ))</f>
        <v>-</v>
      </c>
      <c r="R16" s="9" t="str">
        <f>IF($B16=0,"-",SUMIF('Invulblad WB'!$AD:$AD,$AG16,'Invulblad WB'!$AL:$AL)/SUMIF('Invulblad WB'!$AD:$AD,$AG16,'Invulblad WB'!$Z:$Z))</f>
        <v>-</v>
      </c>
      <c r="S16" s="240" t="str">
        <f>IF($B16=0,"-",SUMIF('Invulblad WB'!$AD:$AD,$AG16,'Invulblad WB'!$AM:$AM)/SUMIF('Invulblad WB'!$AD:$AD,$AG16,'Invulblad WB'!$X:$X))</f>
        <v>-</v>
      </c>
      <c r="T16" s="9" t="str">
        <f>IF($B16=0,"-",SUMIF('Invulblad WB'!$AD:$AD,$AG16,'Invulblad WB'!$AM:$AM)/SUMIF('Invulblad WB'!$AD:$AD,$AG16,'Invulblad WB'!$AJ:$AJ))</f>
        <v>-</v>
      </c>
      <c r="U16" s="9" t="str">
        <f>IF($B16=0,"-",SUMIF('Invulblad WB'!$AD:$AD,$AG16,'Invulblad WB'!$AM:$AM)/SUMIF('Invulblad WB'!$AD:$AD,$AG16,'Invulblad WB'!$Z:$Z))</f>
        <v>-</v>
      </c>
      <c r="V16" s="240" t="str">
        <f>IF($B16=0,"-",SUMIF('Invulblad WB'!$AD:$AD,$AG16,'Invulblad WB'!$AN:$AN)/SUMIF('Invulblad WB'!$AD:$AD,$AG16,'Invulblad WB'!$X:$X))</f>
        <v>-</v>
      </c>
      <c r="W16" s="9" t="str">
        <f>IF($B16=0,"-",SUMIF('Invulblad WB'!$AD:$AD,$AG16,'Invulblad WB'!$AN:$AN)/SUMIF('Invulblad WB'!$AD:$AD,$AG16,'Invulblad WB'!$AJ:$AJ))</f>
        <v>-</v>
      </c>
      <c r="X16" s="9" t="str">
        <f>IF($B16=0,"-",SUMIF('Invulblad WB'!$AD:$AD,$AG16,'Invulblad WB'!$AN:$AN)/SUMIF('Invulblad WB'!$AD:$AD,$AG16,'Invulblad WB'!$Z:$Z))</f>
        <v>-</v>
      </c>
      <c r="Y16" s="240" t="str">
        <f>IF($B16=0,"-",SUMIF('Invulblad WB'!$AD:$AD,$AG16,'Invulblad WB'!$AO:$AO)/SUMIF('Invulblad WB'!$AD:$AD,$AG16,'Invulblad WB'!$X:$X))</f>
        <v>-</v>
      </c>
      <c r="Z16" s="9" t="str">
        <f>IF($B16=0,"-",SUMIF('Invulblad WB'!$AD:$AD,$AG16,'Invulblad WB'!$AO:$AO)/SUMIF('Invulblad WB'!$AD:$AD,$AG16,'Invulblad WB'!$AJ:$AJ))</f>
        <v>-</v>
      </c>
      <c r="AA16" s="9" t="str">
        <f>IF($B16=0,"-",SUMIF('Invulblad WB'!$AD:$AD,$AG16,'Invulblad WB'!$AO:$AO)/SUMIF('Invulblad WB'!$AD:$AD,$AG16,'Invulblad WB'!$Z:$Z))</f>
        <v>-</v>
      </c>
      <c r="AB16" s="240" t="str">
        <f>IF($B16=0,"-",SUMIF('Invulblad WB'!$AD:$AD,$AG16,'Invulblad WB'!$AF:$AF)/SUMIF('Invulblad WB'!$AD:$AD,$AG16,'Invulblad WB'!$X:$X))</f>
        <v>-</v>
      </c>
      <c r="AC16" s="9" t="str">
        <f>IF($B16=0,"-",SUMIF('Invulblad WB'!$AD:$AD,$AG16,'Invulblad WB'!$AF:$AF)/SUMIF('Invulblad WB'!$AD:$AD,$AG16,'Invulblad WB'!$AJ:$AJ))</f>
        <v>-</v>
      </c>
      <c r="AD16" s="9" t="str">
        <f>IF($B16=0,"-",SUMIF('Invulblad WB'!$AD:$AD,$AG16,'Invulblad WB'!$AF:$AF)/SUMIF('Invulblad WB'!$AD:$AD,$AG16,'Invulblad WB'!$Z:$Z))</f>
        <v>-</v>
      </c>
      <c r="AE16"/>
      <c r="AG16" s="3" t="str">
        <f>$A$3&amp;A16</f>
        <v>EengezinsLage middeldure koop (van € 240.000 tot € 285.000)</v>
      </c>
    </row>
    <row r="17" spans="1:33" x14ac:dyDescent="0.2">
      <c r="A17" s="32" t="s">
        <v>238</v>
      </c>
      <c r="B17" s="242">
        <f>SUMIF('Invulblad WB'!$AD:$AD,$AG17,'Invulblad WB'!$E:$E)</f>
        <v>0</v>
      </c>
      <c r="C17" s="246">
        <f>IF(B17=0,0,SUMIF('Invulblad WB'!$AD:$AD,$AG17,'Invulblad WB'!$Y:$Y)/$B17)</f>
        <v>0</v>
      </c>
      <c r="D17" s="245">
        <f>IF(B17=0,0,SUMIF('Invulblad WB'!$AD:$AD,$AG17,'Invulblad WB'!$X:$X)/$B17)</f>
        <v>0</v>
      </c>
      <c r="E17" s="9" t="str">
        <f>IF(B17=0,"-",C17/D17)</f>
        <v>-</v>
      </c>
      <c r="F17" s="240">
        <f>IF(B17=0,0,SUMIF('Invulblad WB'!$AD:$AD,$AG17,'Invulblad WB'!$AE:$AE)/$B17)</f>
        <v>0</v>
      </c>
      <c r="G17" s="240">
        <f>IF(B17=0,0,F17/1.21)</f>
        <v>0</v>
      </c>
      <c r="H17" s="240">
        <f>IF(B17=0,0,SUMIF('Invulblad WB'!$AD:$AD,$AG17,'Invulblad WB'!$AF:$AF)/$B17)</f>
        <v>0</v>
      </c>
      <c r="I17" s="240">
        <f>IF(B17=0,0,SUMIF('Invulblad WB'!$AD:$AD,$AG17,'Invulblad WB'!$AG:$AG)/$B17)</f>
        <v>0</v>
      </c>
      <c r="J17" s="240">
        <f>IF(B17=0,0,F17/$C17)</f>
        <v>0</v>
      </c>
      <c r="K17" s="240">
        <f>IF(B17=0,0,I17/$C17)</f>
        <v>0</v>
      </c>
      <c r="L17" s="240">
        <f>IF(D17=0,0,I17/$D17)</f>
        <v>0</v>
      </c>
      <c r="N17" s="9"/>
      <c r="O17" s="240" t="str">
        <f>IF($B17=0,"-",SUMIF('Invulblad WB'!$AD:$AD,$AG17,'Invulblad WB'!$AJ:$AJ)/SUMIF('Invulblad WB'!$AD:$AD,$AG17,'Invulblad WB'!$X:$X))</f>
        <v>-</v>
      </c>
      <c r="P17" s="240" t="str">
        <f>IF($B17=0,"-",SUMIF('Invulblad WB'!$AD:$AD,$AG17,'Invulblad WB'!$AL:$AL)/SUMIF('Invulblad WB'!$AD:$AD,$AG17,'Invulblad WB'!$X:$X))</f>
        <v>-</v>
      </c>
      <c r="Q17" s="9" t="str">
        <f>IF($B17=0,"-",SUMIF('Invulblad WB'!$AD:$AD,$AG17,'Invulblad WB'!$AL:$AL)/SUMIF('Invulblad WB'!$AD:$AD,$AG17,'Invulblad WB'!$AJ:$AJ))</f>
        <v>-</v>
      </c>
      <c r="R17" s="9" t="str">
        <f>IF($B17=0,"-",SUMIF('Invulblad WB'!$AD:$AD,$AG17,'Invulblad WB'!$AL:$AL)/SUMIF('Invulblad WB'!$AD:$AD,$AG17,'Invulblad WB'!$Z:$Z))</f>
        <v>-</v>
      </c>
      <c r="S17" s="240" t="str">
        <f>IF($B17=0,"-",SUMIF('Invulblad WB'!$AD:$AD,$AG17,'Invulblad WB'!$AM:$AM)/SUMIF('Invulblad WB'!$AD:$AD,$AG17,'Invulblad WB'!$X:$X))</f>
        <v>-</v>
      </c>
      <c r="T17" s="9" t="str">
        <f>IF($B17=0,"-",SUMIF('Invulblad WB'!$AD:$AD,$AG17,'Invulblad WB'!$AM:$AM)/SUMIF('Invulblad WB'!$AD:$AD,$AG17,'Invulblad WB'!$AJ:$AJ))</f>
        <v>-</v>
      </c>
      <c r="U17" s="9" t="str">
        <f>IF($B17=0,"-",SUMIF('Invulblad WB'!$AD:$AD,$AG17,'Invulblad WB'!$AM:$AM)/SUMIF('Invulblad WB'!$AD:$AD,$AG17,'Invulblad WB'!$Z:$Z))</f>
        <v>-</v>
      </c>
      <c r="V17" s="240" t="str">
        <f>IF($B17=0,"-",SUMIF('Invulblad WB'!$AD:$AD,$AG17,'Invulblad WB'!$AN:$AN)/SUMIF('Invulblad WB'!$AD:$AD,$AG17,'Invulblad WB'!$X:$X))</f>
        <v>-</v>
      </c>
      <c r="W17" s="9" t="str">
        <f>IF($B17=0,"-",SUMIF('Invulblad WB'!$AD:$AD,$AG17,'Invulblad WB'!$AN:$AN)/SUMIF('Invulblad WB'!$AD:$AD,$AG17,'Invulblad WB'!$AJ:$AJ))</f>
        <v>-</v>
      </c>
      <c r="X17" s="9" t="str">
        <f>IF($B17=0,"-",SUMIF('Invulblad WB'!$AD:$AD,$AG17,'Invulblad WB'!$AN:$AN)/SUMIF('Invulblad WB'!$AD:$AD,$AG17,'Invulblad WB'!$Z:$Z))</f>
        <v>-</v>
      </c>
      <c r="Y17" s="240" t="str">
        <f>IF($B17=0,"-",SUMIF('Invulblad WB'!$AD:$AD,$AG17,'Invulblad WB'!$AO:$AO)/SUMIF('Invulblad WB'!$AD:$AD,$AG17,'Invulblad WB'!$X:$X))</f>
        <v>-</v>
      </c>
      <c r="Z17" s="9" t="str">
        <f>IF($B17=0,"-",SUMIF('Invulblad WB'!$AD:$AD,$AG17,'Invulblad WB'!$AO:$AO)/SUMIF('Invulblad WB'!$AD:$AD,$AG17,'Invulblad WB'!$AJ:$AJ))</f>
        <v>-</v>
      </c>
      <c r="AA17" s="9" t="str">
        <f>IF($B17=0,"-",SUMIF('Invulblad WB'!$AD:$AD,$AG17,'Invulblad WB'!$AO:$AO)/SUMIF('Invulblad WB'!$AD:$AD,$AG17,'Invulblad WB'!$Z:$Z))</f>
        <v>-</v>
      </c>
      <c r="AB17" s="240" t="str">
        <f>IF($B17=0,"-",SUMIF('Invulblad WB'!$AD:$AD,$AG17,'Invulblad WB'!$AF:$AF)/SUMIF('Invulblad WB'!$AD:$AD,$AG17,'Invulblad WB'!$X:$X))</f>
        <v>-</v>
      </c>
      <c r="AC17" s="9" t="str">
        <f>IF($B17=0,"-",SUMIF('Invulblad WB'!$AD:$AD,$AG17,'Invulblad WB'!$AF:$AF)/SUMIF('Invulblad WB'!$AD:$AD,$AG17,'Invulblad WB'!$AJ:$AJ))</f>
        <v>-</v>
      </c>
      <c r="AD17" s="9" t="str">
        <f>IF($B17=0,"-",SUMIF('Invulblad WB'!$AD:$AD,$AG17,'Invulblad WB'!$AF:$AF)/SUMIF('Invulblad WB'!$AD:$AD,$AG17,'Invulblad WB'!$Z:$Z))</f>
        <v>-</v>
      </c>
      <c r="AE17"/>
      <c r="AG17" s="3" t="str">
        <f>$A$3&amp;A17</f>
        <v>EengezinsMidden middeldure koop (van € 285.000 tot € 330.000)</v>
      </c>
    </row>
    <row r="18" spans="1:33" x14ac:dyDescent="0.2">
      <c r="A18" s="32" t="s">
        <v>239</v>
      </c>
      <c r="B18" s="242">
        <f>SUMIF('Invulblad WB'!$AD:$AD,$AG18,'Invulblad WB'!$E:$E)</f>
        <v>0</v>
      </c>
      <c r="C18" s="246">
        <f>IF(B18=0,0,SUMIF('Invulblad WB'!$AD:$AD,$AG18,'Invulblad WB'!$Y:$Y)/$B18)</f>
        <v>0</v>
      </c>
      <c r="D18" s="245">
        <f>IF(B18=0,0,SUMIF('Invulblad WB'!$AD:$AD,$AG18,'Invulblad WB'!$X:$X)/$B18)</f>
        <v>0</v>
      </c>
      <c r="E18" s="9" t="str">
        <f>IF(B18=0,"-",C18/D18)</f>
        <v>-</v>
      </c>
      <c r="F18" s="240">
        <f>IF(B18=0,0,SUMIF('Invulblad WB'!$AD:$AD,$AG18,'Invulblad WB'!$AE:$AE)/$B18)</f>
        <v>0</v>
      </c>
      <c r="G18" s="240">
        <f>IF(B18=0,0,F18/1.21)</f>
        <v>0</v>
      </c>
      <c r="H18" s="240">
        <f>IF(B18=0,0,SUMIF('Invulblad WB'!$AD:$AD,$AG18,'Invulblad WB'!$AF:$AF)/$B18)</f>
        <v>0</v>
      </c>
      <c r="I18" s="240">
        <f>IF(B18=0,0,SUMIF('Invulblad WB'!$AD:$AD,$AG18,'Invulblad WB'!$AG:$AG)/$B18)</f>
        <v>0</v>
      </c>
      <c r="J18" s="240">
        <f>IF(B18=0,0,F18/$C18)</f>
        <v>0</v>
      </c>
      <c r="K18" s="240">
        <f>IF(B18=0,0,I18/$C18)</f>
        <v>0</v>
      </c>
      <c r="L18" s="240">
        <f>IF(D18=0,0,I18/$D18)</f>
        <v>0</v>
      </c>
      <c r="N18" s="9"/>
      <c r="O18" s="240" t="str">
        <f>IF($B18=0,"-",SUMIF('Invulblad WB'!$AD:$AD,$AG18,'Invulblad WB'!$AJ:$AJ)/SUMIF('Invulblad WB'!$AD:$AD,$AG18,'Invulblad WB'!$X:$X))</f>
        <v>-</v>
      </c>
      <c r="P18" s="240" t="str">
        <f>IF($B18=0,"-",SUMIF('Invulblad WB'!$AD:$AD,$AG18,'Invulblad WB'!$AL:$AL)/SUMIF('Invulblad WB'!$AD:$AD,$AG18,'Invulblad WB'!$X:$X))</f>
        <v>-</v>
      </c>
      <c r="Q18" s="9" t="str">
        <f>IF($B18=0,"-",SUMIF('Invulblad WB'!$AD:$AD,$AG18,'Invulblad WB'!$AL:$AL)/SUMIF('Invulblad WB'!$AD:$AD,$AG18,'Invulblad WB'!$AJ:$AJ))</f>
        <v>-</v>
      </c>
      <c r="R18" s="9" t="str">
        <f>IF($B18=0,"-",SUMIF('Invulblad WB'!$AD:$AD,$AG18,'Invulblad WB'!$AL:$AL)/SUMIF('Invulblad WB'!$AD:$AD,$AG18,'Invulblad WB'!$Z:$Z))</f>
        <v>-</v>
      </c>
      <c r="S18" s="240" t="str">
        <f>IF($B18=0,"-",SUMIF('Invulblad WB'!$AD:$AD,$AG18,'Invulblad WB'!$AM:$AM)/SUMIF('Invulblad WB'!$AD:$AD,$AG18,'Invulblad WB'!$X:$X))</f>
        <v>-</v>
      </c>
      <c r="T18" s="9" t="str">
        <f>IF($B18=0,"-",SUMIF('Invulblad WB'!$AD:$AD,$AG18,'Invulblad WB'!$AM:$AM)/SUMIF('Invulblad WB'!$AD:$AD,$AG18,'Invulblad WB'!$AJ:$AJ))</f>
        <v>-</v>
      </c>
      <c r="U18" s="9" t="str">
        <f>IF($B18=0,"-",SUMIF('Invulblad WB'!$AD:$AD,$AG18,'Invulblad WB'!$AM:$AM)/SUMIF('Invulblad WB'!$AD:$AD,$AG18,'Invulblad WB'!$Z:$Z))</f>
        <v>-</v>
      </c>
      <c r="V18" s="240" t="str">
        <f>IF($B18=0,"-",SUMIF('Invulblad WB'!$AD:$AD,$AG18,'Invulblad WB'!$AN:$AN)/SUMIF('Invulblad WB'!$AD:$AD,$AG18,'Invulblad WB'!$X:$X))</f>
        <v>-</v>
      </c>
      <c r="W18" s="9" t="str">
        <f>IF($B18=0,"-",SUMIF('Invulblad WB'!$AD:$AD,$AG18,'Invulblad WB'!$AN:$AN)/SUMIF('Invulblad WB'!$AD:$AD,$AG18,'Invulblad WB'!$AJ:$AJ))</f>
        <v>-</v>
      </c>
      <c r="X18" s="9" t="str">
        <f>IF($B18=0,"-",SUMIF('Invulblad WB'!$AD:$AD,$AG18,'Invulblad WB'!$AN:$AN)/SUMIF('Invulblad WB'!$AD:$AD,$AG18,'Invulblad WB'!$Z:$Z))</f>
        <v>-</v>
      </c>
      <c r="Y18" s="240" t="str">
        <f>IF($B18=0,"-",SUMIF('Invulblad WB'!$AD:$AD,$AG18,'Invulblad WB'!$AO:$AO)/SUMIF('Invulblad WB'!$AD:$AD,$AG18,'Invulblad WB'!$X:$X))</f>
        <v>-</v>
      </c>
      <c r="Z18" s="9" t="str">
        <f>IF($B18=0,"-",SUMIF('Invulblad WB'!$AD:$AD,$AG18,'Invulblad WB'!$AO:$AO)/SUMIF('Invulblad WB'!$AD:$AD,$AG18,'Invulblad WB'!$AJ:$AJ))</f>
        <v>-</v>
      </c>
      <c r="AA18" s="9" t="str">
        <f>IF($B18=0,"-",SUMIF('Invulblad WB'!$AD:$AD,$AG18,'Invulblad WB'!$AO:$AO)/SUMIF('Invulblad WB'!$AD:$AD,$AG18,'Invulblad WB'!$Z:$Z))</f>
        <v>-</v>
      </c>
      <c r="AB18" s="240" t="str">
        <f>IF($B18=0,"-",SUMIF('Invulblad WB'!$AD:$AD,$AG18,'Invulblad WB'!$AF:$AF)/SUMIF('Invulblad WB'!$AD:$AD,$AG18,'Invulblad WB'!$X:$X))</f>
        <v>-</v>
      </c>
      <c r="AC18" s="9" t="str">
        <f>IF($B18=0,"-",SUMIF('Invulblad WB'!$AD:$AD,$AG18,'Invulblad WB'!$AF:$AF)/SUMIF('Invulblad WB'!$AD:$AD,$AG18,'Invulblad WB'!$AJ:$AJ))</f>
        <v>-</v>
      </c>
      <c r="AD18" s="9" t="str">
        <f>IF($B18=0,"-",SUMIF('Invulblad WB'!$AD:$AD,$AG18,'Invulblad WB'!$AF:$AF)/SUMIF('Invulblad WB'!$AD:$AD,$AG18,'Invulblad WB'!$Z:$Z))</f>
        <v>-</v>
      </c>
      <c r="AE18"/>
      <c r="AG18" s="3" t="str">
        <f>$A$3&amp;A18</f>
        <v>EengezinsHoge middeldure koop (van € 330.000 tot € 405.000)</v>
      </c>
    </row>
    <row r="19" spans="1:33" s="56" customFormat="1" ht="16" thickBot="1" x14ac:dyDescent="0.25">
      <c r="A19" s="36" t="s">
        <v>240</v>
      </c>
      <c r="B19" s="222">
        <f>SUMIF('Invulblad WB'!$AD:$AD,$AG19,'Invulblad WB'!$E:$E)</f>
        <v>0</v>
      </c>
      <c r="C19" s="260">
        <f>IF(B19=0,0,SUMIF('Invulblad WB'!$AD:$AD,$AG19,'Invulblad WB'!$Y:$Y)/$B19)</f>
        <v>0</v>
      </c>
      <c r="D19" s="261">
        <f>IF(B19=0,0,SUMIF('Invulblad WB'!$AD:$AD,$AG19,'Invulblad WB'!$X:$X)/$B19)</f>
        <v>0</v>
      </c>
      <c r="E19" s="263" t="str">
        <f>IF(B19=0,"-",C19/D19)</f>
        <v>-</v>
      </c>
      <c r="F19" s="262">
        <f>IF(B19=0,0,SUMIF('Invulblad WB'!$AD:$AD,$AG19,'Invulblad WB'!$AE:$AE)/$B19)</f>
        <v>0</v>
      </c>
      <c r="G19" s="262">
        <f>IF(B19=0,0,F19/1.21)</f>
        <v>0</v>
      </c>
      <c r="H19" s="262">
        <f>IF(B19=0,0,SUMIF('Invulblad WB'!$AD:$AD,$AG19,'Invulblad WB'!$AF:$AF)/$B19)</f>
        <v>0</v>
      </c>
      <c r="I19" s="262">
        <f>IF(B19=0,0,SUMIF('Invulblad WB'!$AD:$AD,$AG19,'Invulblad WB'!$AG:$AG)/$B19)</f>
        <v>0</v>
      </c>
      <c r="J19" s="262">
        <f>IF(B19=0,0,F19/$C19)</f>
        <v>0</v>
      </c>
      <c r="K19" s="262">
        <f>IF(B19=0,0,I19/$C19)</f>
        <v>0</v>
      </c>
      <c r="L19" s="262">
        <f>IF(D19=0,0,I19/$D19)</f>
        <v>0</v>
      </c>
      <c r="M19"/>
      <c r="N19" s="263"/>
      <c r="O19" s="262" t="str">
        <f>IF($B19=0,"-",SUMIF('Invulblad WB'!$AD:$AD,$AG19,'Invulblad WB'!$AJ:$AJ)/SUMIF('Invulblad WB'!$AD:$AD,$AG19,'Invulblad WB'!$X:$X))</f>
        <v>-</v>
      </c>
      <c r="P19" s="262" t="str">
        <f>IF($B19=0,"-",SUMIF('Invulblad WB'!$AD:$AD,$AG19,'Invulblad WB'!$AL:$AL)/SUMIF('Invulblad WB'!$AD:$AD,$AG19,'Invulblad WB'!$X:$X))</f>
        <v>-</v>
      </c>
      <c r="Q19" s="263" t="str">
        <f>IF($B19=0,"-",SUMIF('Invulblad WB'!$AD:$AD,$AG19,'Invulblad WB'!$AL:$AL)/SUMIF('Invulblad WB'!$AD:$AD,$AG19,'Invulblad WB'!$AJ:$AJ))</f>
        <v>-</v>
      </c>
      <c r="R19" s="263" t="str">
        <f>IF($B19=0,"-",SUMIF('Invulblad WB'!$AD:$AD,$AG19,'Invulblad WB'!$AL:$AL)/SUMIF('Invulblad WB'!$AD:$AD,$AG19,'Invulblad WB'!$Z:$Z))</f>
        <v>-</v>
      </c>
      <c r="S19" s="262" t="str">
        <f>IF($B19=0,"-",SUMIF('Invulblad WB'!$AD:$AD,$AG19,'Invulblad WB'!$AM:$AM)/SUMIF('Invulblad WB'!$AD:$AD,$AG19,'Invulblad WB'!$X:$X))</f>
        <v>-</v>
      </c>
      <c r="T19" s="263" t="str">
        <f>IF($B19=0,"-",SUMIF('Invulblad WB'!$AD:$AD,$AG19,'Invulblad WB'!$AM:$AM)/SUMIF('Invulblad WB'!$AD:$AD,$AG19,'Invulblad WB'!$AJ:$AJ))</f>
        <v>-</v>
      </c>
      <c r="U19" s="263" t="str">
        <f>IF($B19=0,"-",SUMIF('Invulblad WB'!$AD:$AD,$AG19,'Invulblad WB'!$AM:$AM)/SUMIF('Invulblad WB'!$AD:$AD,$AG19,'Invulblad WB'!$Z:$Z))</f>
        <v>-</v>
      </c>
      <c r="V19" s="262" t="str">
        <f>IF($B19=0,"-",SUMIF('Invulblad WB'!$AD:$AD,$AG19,'Invulblad WB'!$AN:$AN)/SUMIF('Invulblad WB'!$AD:$AD,$AG19,'Invulblad WB'!$X:$X))</f>
        <v>-</v>
      </c>
      <c r="W19" s="263" t="str">
        <f>IF($B19=0,"-",SUMIF('Invulblad WB'!$AD:$AD,$AG19,'Invulblad WB'!$AN:$AN)/SUMIF('Invulblad WB'!$AD:$AD,$AG19,'Invulblad WB'!$AJ:$AJ))</f>
        <v>-</v>
      </c>
      <c r="X19" s="263" t="str">
        <f>IF($B19=0,"-",SUMIF('Invulblad WB'!$AD:$AD,$AG19,'Invulblad WB'!$AN:$AN)/SUMIF('Invulblad WB'!$AD:$AD,$AG19,'Invulblad WB'!$Z:$Z))</f>
        <v>-</v>
      </c>
      <c r="Y19" s="262" t="str">
        <f>IF($B19=0,"-",SUMIF('Invulblad WB'!$AD:$AD,$AG19,'Invulblad WB'!$AO:$AO)/SUMIF('Invulblad WB'!$AD:$AD,$AG19,'Invulblad WB'!$X:$X))</f>
        <v>-</v>
      </c>
      <c r="Z19" s="263" t="str">
        <f>IF($B19=0,"-",SUMIF('Invulblad WB'!$AD:$AD,$AG19,'Invulblad WB'!$AO:$AO)/SUMIF('Invulblad WB'!$AD:$AD,$AG19,'Invulblad WB'!$AJ:$AJ))</f>
        <v>-</v>
      </c>
      <c r="AA19" s="263" t="str">
        <f>IF($B19=0,"-",SUMIF('Invulblad WB'!$AD:$AD,$AG19,'Invulblad WB'!$AO:$AO)/SUMIF('Invulblad WB'!$AD:$AD,$AG19,'Invulblad WB'!$Z:$Z))</f>
        <v>-</v>
      </c>
      <c r="AB19" s="262" t="str">
        <f>IF($B19=0,"-",SUMIF('Invulblad WB'!$AD:$AD,$AG19,'Invulblad WB'!$AF:$AF)/SUMIF('Invulblad WB'!$AD:$AD,$AG19,'Invulblad WB'!$X:$X))</f>
        <v>-</v>
      </c>
      <c r="AC19" s="263" t="str">
        <f>IF($B19=0,"-",SUMIF('Invulblad WB'!$AD:$AD,$AG19,'Invulblad WB'!$AF:$AF)/SUMIF('Invulblad WB'!$AD:$AD,$AG19,'Invulblad WB'!$AJ:$AJ))</f>
        <v>-</v>
      </c>
      <c r="AD19" s="263" t="str">
        <f>IF($B19=0,"-",SUMIF('Invulblad WB'!$AD:$AD,$AG19,'Invulblad WB'!$AF:$AF)/SUMIF('Invulblad WB'!$AD:$AD,$AG19,'Invulblad WB'!$Z:$Z))</f>
        <v>-</v>
      </c>
      <c r="AE19" s="268"/>
      <c r="AF19" s="268"/>
      <c r="AG19" s="3" t="str">
        <f>$A$3&amp;A19</f>
        <v>EengezinsDure koop (vanaf € 405.000)</v>
      </c>
    </row>
    <row r="20" spans="1:33" s="55" customFormat="1" ht="16" thickTop="1" x14ac:dyDescent="0.2">
      <c r="A20" s="30"/>
      <c r="B20" s="253"/>
      <c r="C20" s="252"/>
      <c r="D20" s="251"/>
      <c r="E20" s="89"/>
      <c r="F20" s="250"/>
      <c r="G20" s="250"/>
      <c r="H20" s="250"/>
      <c r="I20" s="250"/>
      <c r="J20" s="250"/>
      <c r="K20" s="250"/>
      <c r="L20" s="250"/>
      <c r="M2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69"/>
      <c r="AF20" s="269"/>
      <c r="AG20" s="15"/>
    </row>
    <row r="21" spans="1:33" x14ac:dyDescent="0.2">
      <c r="A21" s="4" t="s">
        <v>168</v>
      </c>
      <c r="B21" s="4" t="s">
        <v>38</v>
      </c>
      <c r="G21" s="229"/>
      <c r="H21" s="229"/>
      <c r="I21" s="229"/>
      <c r="J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/>
      <c r="AG21" s="3"/>
    </row>
    <row r="22" spans="1:33" x14ac:dyDescent="0.2">
      <c r="A22" s="19"/>
      <c r="B22" s="228" t="s">
        <v>226</v>
      </c>
      <c r="C22" s="6" t="s">
        <v>246</v>
      </c>
      <c r="D22" s="6" t="s">
        <v>246</v>
      </c>
      <c r="E22" s="6" t="s">
        <v>227</v>
      </c>
      <c r="F22" s="6" t="s">
        <v>37</v>
      </c>
      <c r="G22" s="6" t="s">
        <v>37</v>
      </c>
      <c r="H22" s="6" t="s">
        <v>41</v>
      </c>
      <c r="I22" s="6" t="s">
        <v>216</v>
      </c>
      <c r="J22" s="6" t="s">
        <v>37</v>
      </c>
      <c r="K22" s="6" t="s">
        <v>216</v>
      </c>
      <c r="L22" s="6" t="s">
        <v>216</v>
      </c>
      <c r="N22" s="6" t="s">
        <v>247</v>
      </c>
      <c r="O22" s="6" t="s">
        <v>44</v>
      </c>
      <c r="P22" s="6" t="s">
        <v>248</v>
      </c>
      <c r="Q22" s="6" t="s">
        <v>248</v>
      </c>
      <c r="R22" s="6" t="s">
        <v>248</v>
      </c>
      <c r="S22" s="6" t="s">
        <v>249</v>
      </c>
      <c r="T22" s="6" t="s">
        <v>249</v>
      </c>
      <c r="U22" s="6" t="s">
        <v>249</v>
      </c>
      <c r="V22" s="6" t="s">
        <v>48</v>
      </c>
      <c r="W22" s="6" t="s">
        <v>48</v>
      </c>
      <c r="X22" s="6" t="s">
        <v>48</v>
      </c>
      <c r="Y22" s="6" t="s">
        <v>49</v>
      </c>
      <c r="Z22" s="6" t="s">
        <v>49</v>
      </c>
      <c r="AA22" s="6" t="s">
        <v>49</v>
      </c>
      <c r="AB22" s="6" t="s">
        <v>41</v>
      </c>
      <c r="AC22" s="6" t="s">
        <v>41</v>
      </c>
      <c r="AD22" s="6" t="s">
        <v>41</v>
      </c>
      <c r="AE22"/>
      <c r="AG22" s="3"/>
    </row>
    <row r="23" spans="1:33" x14ac:dyDescent="0.2">
      <c r="A23" s="19"/>
      <c r="B23" s="228"/>
      <c r="C23" s="6" t="s">
        <v>228</v>
      </c>
      <c r="D23" s="6" t="s">
        <v>112</v>
      </c>
      <c r="E23" s="6" t="s">
        <v>229</v>
      </c>
      <c r="F23" s="6" t="s">
        <v>40</v>
      </c>
      <c r="G23" s="6" t="s">
        <v>40</v>
      </c>
      <c r="H23" s="6" t="s">
        <v>76</v>
      </c>
      <c r="I23" s="6" t="s">
        <v>76</v>
      </c>
      <c r="J23" s="6" t="s">
        <v>228</v>
      </c>
      <c r="K23" s="6" t="s">
        <v>250</v>
      </c>
      <c r="L23" s="6" t="s">
        <v>219</v>
      </c>
      <c r="N23" s="6" t="s">
        <v>251</v>
      </c>
      <c r="O23" s="6" t="s">
        <v>219</v>
      </c>
      <c r="P23" s="6" t="s">
        <v>219</v>
      </c>
      <c r="Q23" s="6" t="s">
        <v>252</v>
      </c>
      <c r="R23" s="6" t="s">
        <v>253</v>
      </c>
      <c r="S23" s="6" t="s">
        <v>219</v>
      </c>
      <c r="T23" s="6" t="s">
        <v>252</v>
      </c>
      <c r="U23" s="6" t="s">
        <v>253</v>
      </c>
      <c r="V23" s="6" t="s">
        <v>219</v>
      </c>
      <c r="W23" s="6" t="s">
        <v>252</v>
      </c>
      <c r="X23" s="6" t="s">
        <v>253</v>
      </c>
      <c r="Y23" s="6" t="s">
        <v>219</v>
      </c>
      <c r="Z23" s="6" t="s">
        <v>252</v>
      </c>
      <c r="AA23" s="6" t="s">
        <v>253</v>
      </c>
      <c r="AB23" s="6" t="s">
        <v>219</v>
      </c>
      <c r="AC23" s="6" t="s">
        <v>252</v>
      </c>
      <c r="AD23" s="6" t="s">
        <v>253</v>
      </c>
      <c r="AE23"/>
      <c r="AG23" s="3"/>
    </row>
    <row r="24" spans="1:33" x14ac:dyDescent="0.2">
      <c r="A24" s="247" t="s">
        <v>51</v>
      </c>
      <c r="B24" s="227"/>
      <c r="C24" s="8"/>
      <c r="D24" s="8"/>
      <c r="E24" s="8"/>
      <c r="F24" s="8" t="s">
        <v>254</v>
      </c>
      <c r="G24" s="8" t="s">
        <v>255</v>
      </c>
      <c r="H24" s="8"/>
      <c r="I24" s="8" t="s">
        <v>255</v>
      </c>
      <c r="J24" s="8" t="s">
        <v>255</v>
      </c>
      <c r="K24" s="8" t="s">
        <v>255</v>
      </c>
      <c r="L24" s="8" t="s">
        <v>255</v>
      </c>
      <c r="N24" s="8" t="s">
        <v>256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/>
      <c r="AG24" s="3"/>
    </row>
    <row r="25" spans="1:33" x14ac:dyDescent="0.2">
      <c r="A25" s="32" t="s">
        <v>233</v>
      </c>
      <c r="B25" s="242">
        <f>SUMIF('Invulblad WB'!$AD:$AD,$AG25,'Invulblad WB'!$E:$E)</f>
        <v>0</v>
      </c>
      <c r="C25" s="246">
        <f>IF(B25=0,0,SUMIF('Invulblad WB'!$AD:$AD,$AG25,'Invulblad WB'!$Y:$Y)/$B25)</f>
        <v>0</v>
      </c>
      <c r="D25" s="245">
        <f>IF(B25=0,0,SUMIF('Invulblad WB'!$AD:$AD,$AG25,'Invulblad WB'!$X:$X)/$B25)</f>
        <v>0</v>
      </c>
      <c r="E25" s="9" t="str">
        <f>IF(B25=0,"-",C25/D25)</f>
        <v>-</v>
      </c>
      <c r="F25" s="240">
        <f>IF(B25=0,0,SUMIF('Invulblad WB'!$AD:$AD,$AG25,'Invulblad WB'!$AE:$AE)/$B25)</f>
        <v>0</v>
      </c>
      <c r="G25" s="240">
        <f>IF(B25=0,0,F25/1.21)</f>
        <v>0</v>
      </c>
      <c r="H25" s="240">
        <f>IF(B25=0,0,SUMIF('Invulblad WB'!$AD:$AD,$AG25,'Invulblad WB'!$AF:$AF)/$B25)</f>
        <v>0</v>
      </c>
      <c r="I25" s="240">
        <f>IF(B25=0,0,SUMIF('Invulblad WB'!$AD:$AD,$AG25,'Invulblad WB'!$AG:$AG)/$B25)</f>
        <v>0</v>
      </c>
      <c r="J25" s="240">
        <f>IF(B25=0,0,F25/$C25)</f>
        <v>0</v>
      </c>
      <c r="K25" s="240">
        <f>IF(B25=0,0,I25/$C25)</f>
        <v>0</v>
      </c>
      <c r="L25" s="240">
        <f>IF(D25=0,0,I25/$D25)</f>
        <v>0</v>
      </c>
      <c r="N25" s="9" t="str">
        <f>IF($B25=0,"-",IF(SUMIF('Invulblad WB'!$AD$5:$AD$13,$A$3&amp;$A25,'Invulblad WB'!$AE$5:$AE$13)=0,"-",SUMIF('Invulblad WB'!$AD$5:$AD$13,$A$3&amp;$A25,'Invulblad WB'!$AH$5:$AH$13)/SUMIF('Invulblad WB'!$AD$5:$AD$13,$A$3&amp;$A25,'Invulblad WB'!$AE$5:$AE$13)))</f>
        <v>-</v>
      </c>
      <c r="O25" s="240" t="str">
        <f>IF($B25=0,"-",SUMIF('Invulblad WB'!$AD:$AD,$AG25,'Invulblad WB'!$AJ:$AJ)/SUMIF('Invulblad WB'!$AD:$AD,$AG25,'Invulblad WB'!$X:$X))</f>
        <v>-</v>
      </c>
      <c r="P25" s="240" t="str">
        <f>IF($B25=0,"-",SUMIF('Invulblad WB'!$AD:$AD,$AG25,'Invulblad WB'!$AL:$AL)/SUMIF('Invulblad WB'!$AD:$AD,$AG25,'Invulblad WB'!$X:$X))</f>
        <v>-</v>
      </c>
      <c r="Q25" s="9" t="str">
        <f>IF($B25=0,"-",SUMIF('Invulblad WB'!$AD:$AD,$AG25,'Invulblad WB'!$AL:$AL)/SUMIF('Invulblad WB'!$AD:$AD,$AG25,'Invulblad WB'!$AJ:$AJ))</f>
        <v>-</v>
      </c>
      <c r="R25" s="9" t="str">
        <f>IF($B25=0,"-",SUMIF('Invulblad WB'!$AD:$AD,$AG25,'Invulblad WB'!$AL:$AL)/SUMIF('Invulblad WB'!$AD:$AD,$AG25,'Invulblad WB'!$Z:$Z))</f>
        <v>-</v>
      </c>
      <c r="S25" s="240" t="str">
        <f>IF($B25=0,"-",SUMIF('Invulblad WB'!$AD:$AD,$AG25,'Invulblad WB'!$AM:$AM)/SUMIF('Invulblad WB'!$AD:$AD,$AG25,'Invulblad WB'!$X:$X))</f>
        <v>-</v>
      </c>
      <c r="T25" s="9" t="str">
        <f>IF($B25=0,"-",SUMIF('Invulblad WB'!$AD:$AD,$AG25,'Invulblad WB'!$AM:$AM)/SUMIF('Invulblad WB'!$AD:$AD,$AG25,'Invulblad WB'!$AJ:$AJ))</f>
        <v>-</v>
      </c>
      <c r="U25" s="9" t="str">
        <f>IF($B25=0,"-",SUMIF('Invulblad WB'!$AD:$AD,$AG25,'Invulblad WB'!$AM:$AM)/SUMIF('Invulblad WB'!$AD:$AD,$AG25,'Invulblad WB'!$Z:$Z))</f>
        <v>-</v>
      </c>
      <c r="V25" s="240" t="str">
        <f>IF($B25=0,"-",SUMIF('Invulblad WB'!$AD:$AD,$AG25,'Invulblad WB'!$AN:$AN)/SUMIF('Invulblad WB'!$AD:$AD,$AG25,'Invulblad WB'!$X:$X))</f>
        <v>-</v>
      </c>
      <c r="W25" s="9" t="str">
        <f>IF($B25=0,"-",SUMIF('Invulblad WB'!$AD:$AD,$AG25,'Invulblad WB'!$AN:$AN)/SUMIF('Invulblad WB'!$AD:$AD,$AG25,'Invulblad WB'!$AJ:$AJ))</f>
        <v>-</v>
      </c>
      <c r="X25" s="9" t="str">
        <f>IF($B25=0,"-",SUMIF('Invulblad WB'!$AD:$AD,$AG25,'Invulblad WB'!$AN:$AN)/SUMIF('Invulblad WB'!$AD:$AD,$AG25,'Invulblad WB'!$Z:$Z))</f>
        <v>-</v>
      </c>
      <c r="Y25" s="240" t="str">
        <f>IF($B25=0,"-",SUMIF('Invulblad WB'!$AD:$AD,$AG25,'Invulblad WB'!$AO:$AO)/SUMIF('Invulblad WB'!$AD:$AD,$AG25,'Invulblad WB'!$X:$X))</f>
        <v>-</v>
      </c>
      <c r="Z25" s="9" t="str">
        <f>IF($B25=0,"-",SUMIF('Invulblad WB'!$AD:$AD,$AG25,'Invulblad WB'!$AO:$AO)/SUMIF('Invulblad WB'!$AD:$AD,$AG25,'Invulblad WB'!$AJ:$AJ))</f>
        <v>-</v>
      </c>
      <c r="AA25" s="9" t="str">
        <f>IF($B25=0,"-",SUMIF('Invulblad WB'!$AD:$AD,$AG25,'Invulblad WB'!$AO:$AO)/SUMIF('Invulblad WB'!$AD:$AD,$AG25,'Invulblad WB'!$Z:$Z))</f>
        <v>-</v>
      </c>
      <c r="AB25" s="240" t="str">
        <f>IF($B25=0,"-",SUMIF('Invulblad WB'!$AD:$AD,$AG25,'Invulblad WB'!$AF:$AF)/SUMIF('Invulblad WB'!$AD:$AD,$AG25,'Invulblad WB'!$X:$X))</f>
        <v>-</v>
      </c>
      <c r="AC25" s="9" t="str">
        <f>IF($B25=0,"-",SUMIF('Invulblad WB'!$AD:$AD,$AG25,'Invulblad WB'!$AF:$AF)/SUMIF('Invulblad WB'!$AD:$AD,$AG25,'Invulblad WB'!$AJ:$AJ))</f>
        <v>-</v>
      </c>
      <c r="AD25" s="9" t="str">
        <f>IF($B25=0,"-",SUMIF('Invulblad WB'!$AD:$AD,$AG25,'Invulblad WB'!$AF:$AF)/SUMIF('Invulblad WB'!$AD:$AD,$AG25,'Invulblad WB'!$Z:$Z))</f>
        <v>-</v>
      </c>
      <c r="AE25"/>
      <c r="AG25" s="3" t="str">
        <f>$A$21&amp;A25</f>
        <v>MeergezinsSociale huur (tot € 900,-)</v>
      </c>
    </row>
    <row r="26" spans="1:33" x14ac:dyDescent="0.2">
      <c r="A26" s="33" t="s">
        <v>234</v>
      </c>
      <c r="B26" s="242">
        <f>SUMIF('Invulblad WB'!$AD:$AD,$AG26,'Invulblad WB'!$E:$E)</f>
        <v>0</v>
      </c>
      <c r="C26" s="246">
        <f>IF(B26=0,0,SUMIF('Invulblad WB'!$AD:$AD,$AG26,'Invulblad WB'!$Y:$Y)/$B26)</f>
        <v>0</v>
      </c>
      <c r="D26" s="245">
        <f>IF(B26=0,0,SUMIF('Invulblad WB'!$AD:$AD,$AG26,'Invulblad WB'!$X:$X)/$B26)</f>
        <v>0</v>
      </c>
      <c r="E26" s="12" t="str">
        <f>IF(B26=0,"-",C26/D26)</f>
        <v>-</v>
      </c>
      <c r="F26" s="240">
        <f>IF(B26=0,0,SUMIF('Invulblad WB'!$AD:$AD,$AG26,'Invulblad WB'!$AE:$AE)/$B26)</f>
        <v>0</v>
      </c>
      <c r="G26" s="223">
        <f>IF(B26=0,0,F26/1.21)</f>
        <v>0</v>
      </c>
      <c r="H26" s="240">
        <f>IF(B26=0,0,SUMIF('Invulblad WB'!$AD:$AD,$AG26,'Invulblad WB'!$AF:$AF)/$B26)</f>
        <v>0</v>
      </c>
      <c r="I26" s="240">
        <f>IF(B26=0,0,SUMIF('Invulblad WB'!$AD:$AD,$AG26,'Invulblad WB'!$AG:$AG)/$B26)</f>
        <v>0</v>
      </c>
      <c r="J26" s="240">
        <f>IF(B26=0,0,F26/$C26)</f>
        <v>0</v>
      </c>
      <c r="K26" s="223">
        <f>IF(B26=0,0,I26/$C26)</f>
        <v>0</v>
      </c>
      <c r="L26" s="240">
        <f t="shared" ref="L26:L27" si="0">IF(D26=0,0,I26/$D26)</f>
        <v>0</v>
      </c>
      <c r="N26" s="9" t="str">
        <f>IF($B26=0,"-",IF(SUMIF('Invulblad WB'!$AD$5:$AD$13,$A$3&amp;$A26,'Invulblad WB'!$AE$5:$AE$13)=0,"-",SUMIF('Invulblad WB'!$AD$5:$AD$13,$A$3&amp;$A26,'Invulblad WB'!$AH$5:$AH$13)/SUMIF('Invulblad WB'!$AD$5:$AD$13,$A$3&amp;$A26,'Invulblad WB'!$AE$5:$AE$13)))</f>
        <v>-</v>
      </c>
      <c r="O26" s="240" t="str">
        <f>IF($B26=0,"-",SUMIF('Invulblad WB'!$AD:$AD,$AG26,'Invulblad WB'!$AJ:$AJ)/SUMIF('Invulblad WB'!$AD:$AD,$AG26,'Invulblad WB'!$X:$X))</f>
        <v>-</v>
      </c>
      <c r="P26" s="240" t="str">
        <f>IF($B26=0,"-",SUMIF('Invulblad WB'!$AD:$AD,$AG26,'Invulblad WB'!$AL:$AL)/SUMIF('Invulblad WB'!$AD:$AD,$AG26,'Invulblad WB'!$X:$X))</f>
        <v>-</v>
      </c>
      <c r="Q26" s="9" t="str">
        <f>IF($B26=0,"-",SUMIF('Invulblad WB'!$AD:$AD,$AG26,'Invulblad WB'!$AL:$AL)/SUMIF('Invulblad WB'!$AD:$AD,$AG26,'Invulblad WB'!$AJ:$AJ))</f>
        <v>-</v>
      </c>
      <c r="R26" s="9" t="str">
        <f>IF($B26=0,"-",SUMIF('Invulblad WB'!$AD:$AD,$AG26,'Invulblad WB'!$AL:$AL)/SUMIF('Invulblad WB'!$AD:$AD,$AG26,'Invulblad WB'!$Z:$Z))</f>
        <v>-</v>
      </c>
      <c r="S26" s="240" t="str">
        <f>IF($B26=0,"-",SUMIF('Invulblad WB'!$AD:$AD,$AG26,'Invulblad WB'!$AM:$AM)/SUMIF('Invulblad WB'!$AD:$AD,$AG26,'Invulblad WB'!$X:$X))</f>
        <v>-</v>
      </c>
      <c r="T26" s="9" t="str">
        <f>IF($B26=0,"-",SUMIF('Invulblad WB'!$AD:$AD,$AG26,'Invulblad WB'!$AM:$AM)/SUMIF('Invulblad WB'!$AD:$AD,$AG26,'Invulblad WB'!$AJ:$AJ))</f>
        <v>-</v>
      </c>
      <c r="U26" s="9" t="str">
        <f>IF($B26=0,"-",SUMIF('Invulblad WB'!$AD:$AD,$AG26,'Invulblad WB'!$AM:$AM)/SUMIF('Invulblad WB'!$AD:$AD,$AG26,'Invulblad WB'!$Z:$Z))</f>
        <v>-</v>
      </c>
      <c r="V26" s="240" t="str">
        <f>IF($B26=0,"-",SUMIF('Invulblad WB'!$AD:$AD,$AG26,'Invulblad WB'!$AN:$AN)/SUMIF('Invulblad WB'!$AD:$AD,$AG26,'Invulblad WB'!$X:$X))</f>
        <v>-</v>
      </c>
      <c r="W26" s="9" t="str">
        <f>IF($B26=0,"-",SUMIF('Invulblad WB'!$AD:$AD,$AG26,'Invulblad WB'!$AN:$AN)/SUMIF('Invulblad WB'!$AD:$AD,$AG26,'Invulblad WB'!$AJ:$AJ))</f>
        <v>-</v>
      </c>
      <c r="X26" s="9" t="str">
        <f>IF($B26=0,"-",SUMIF('Invulblad WB'!$AD:$AD,$AG26,'Invulblad WB'!$AN:$AN)/SUMIF('Invulblad WB'!$AD:$AD,$AG26,'Invulblad WB'!$Z:$Z))</f>
        <v>-</v>
      </c>
      <c r="Y26" s="240" t="str">
        <f>IF($B26=0,"-",SUMIF('Invulblad WB'!$AD:$AD,$AG26,'Invulblad WB'!$AO:$AO)/SUMIF('Invulblad WB'!$AD:$AD,$AG26,'Invulblad WB'!$X:$X))</f>
        <v>-</v>
      </c>
      <c r="Z26" s="9" t="str">
        <f>IF($B26=0,"-",SUMIF('Invulblad WB'!$AD:$AD,$AG26,'Invulblad WB'!$AO:$AO)/SUMIF('Invulblad WB'!$AD:$AD,$AG26,'Invulblad WB'!$AJ:$AJ))</f>
        <v>-</v>
      </c>
      <c r="AA26" s="9" t="str">
        <f>IF($B26=0,"-",SUMIF('Invulblad WB'!$AD:$AD,$AG26,'Invulblad WB'!$AO:$AO)/SUMIF('Invulblad WB'!$AD:$AD,$AG26,'Invulblad WB'!$Z:$Z))</f>
        <v>-</v>
      </c>
      <c r="AB26" s="240" t="str">
        <f>IF($B26=0,"-",SUMIF('Invulblad WB'!$AD:$AD,$AG26,'Invulblad WB'!$AF:$AF)/SUMIF('Invulblad WB'!$AD:$AD,$AG26,'Invulblad WB'!$X:$X))</f>
        <v>-</v>
      </c>
      <c r="AC26" s="9" t="str">
        <f>IF($B26=0,"-",SUMIF('Invulblad WB'!$AD:$AD,$AG26,'Invulblad WB'!$AF:$AF)/SUMIF('Invulblad WB'!$AD:$AD,$AG26,'Invulblad WB'!$AJ:$AJ))</f>
        <v>-</v>
      </c>
      <c r="AD26" s="9" t="str">
        <f>IF($B26=0,"-",SUMIF('Invulblad WB'!$AD:$AD,$AG26,'Invulblad WB'!$AF:$AF)/SUMIF('Invulblad WB'!$AD:$AD,$AG26,'Invulblad WB'!$Z:$Z))</f>
        <v>-</v>
      </c>
      <c r="AE26"/>
      <c r="AG26" s="3" t="str">
        <f>$A$21&amp;A26</f>
        <v>MeergezinsMiddenhuur (van € 900 tot € 1.184)</v>
      </c>
    </row>
    <row r="27" spans="1:33" ht="16" thickBot="1" x14ac:dyDescent="0.25">
      <c r="A27" s="259" t="s">
        <v>235</v>
      </c>
      <c r="B27" s="222">
        <f>SUMIF('Invulblad WB'!$AD:$AD,$AG27,'Invulblad WB'!$E:$E)</f>
        <v>0</v>
      </c>
      <c r="C27" s="260">
        <f>IF(B27=0,0,SUMIF('Invulblad WB'!$AD:$AD,$AG27,'Invulblad WB'!$Y:$Y)/$B27)</f>
        <v>0</v>
      </c>
      <c r="D27" s="261">
        <f>IF(B27=0,0,SUMIF('Invulblad WB'!$AD:$AD,$AG27,'Invulblad WB'!$X:$X)/$B27)</f>
        <v>0</v>
      </c>
      <c r="E27" s="257" t="str">
        <f>IF(B27=0,"-",C27/D27)</f>
        <v>-</v>
      </c>
      <c r="F27" s="262">
        <f>IF(B27=0,0,SUMIF('Invulblad WB'!$AD:$AD,$AG27,'Invulblad WB'!$AE:$AE)/$B27)</f>
        <v>0</v>
      </c>
      <c r="G27" s="258">
        <f>IF(B27=0,0,F27/1.21)</f>
        <v>0</v>
      </c>
      <c r="H27" s="262">
        <f>IF(B27=0,0,SUMIF('Invulblad WB'!$AD:$AD,$AG27,'Invulblad WB'!$AF:$AF)/$B27)</f>
        <v>0</v>
      </c>
      <c r="I27" s="262">
        <f>IF(B27=0,0,SUMIF('Invulblad WB'!$AD:$AD,$AG27,'Invulblad WB'!$AG:$AG)/$B27)</f>
        <v>0</v>
      </c>
      <c r="J27" s="262">
        <f>IF(B27=0,0,F27/$C27)</f>
        <v>0</v>
      </c>
      <c r="K27" s="258">
        <f>IF(B27=0,0,I27/$C27)</f>
        <v>0</v>
      </c>
      <c r="L27" s="262">
        <f t="shared" si="0"/>
        <v>0</v>
      </c>
      <c r="N27" s="263" t="str">
        <f>IF($B27=0,"-",IF(SUMIF('Invulblad WB'!$AD$5:$AD$13,$A$3&amp;$A27,'Invulblad WB'!$AE$5:$AE$13)=0,"-",SUMIF('Invulblad WB'!$AD$5:$AD$13,$A$3&amp;$A27,'Invulblad WB'!$AH$5:$AH$13)/SUMIF('Invulblad WB'!$AD$5:$AD$13,$A$3&amp;$A27,'Invulblad WB'!$AE$5:$AE$13)))</f>
        <v>-</v>
      </c>
      <c r="O27" s="262" t="str">
        <f>IF($B27=0,"-",SUMIF('Invulblad WB'!$AD:$AD,$AG27,'Invulblad WB'!$AJ:$AJ)/SUMIF('Invulblad WB'!$AD:$AD,$AG27,'Invulblad WB'!$X:$X))</f>
        <v>-</v>
      </c>
      <c r="P27" s="262" t="str">
        <f>IF($B27=0,"-",SUMIF('Invulblad WB'!$AD:$AD,$AG27,'Invulblad WB'!$AL:$AL)/SUMIF('Invulblad WB'!$AD:$AD,$AG27,'Invulblad WB'!$X:$X))</f>
        <v>-</v>
      </c>
      <c r="Q27" s="263" t="str">
        <f>IF($B27=0,"-",SUMIF('Invulblad WB'!$AD:$AD,$AG27,'Invulblad WB'!$AL:$AL)/SUMIF('Invulblad WB'!$AD:$AD,$AG27,'Invulblad WB'!$AJ:$AJ))</f>
        <v>-</v>
      </c>
      <c r="R27" s="263" t="str">
        <f>IF($B27=0,"-",SUMIF('Invulblad WB'!$AD:$AD,$AG27,'Invulblad WB'!$AL:$AL)/SUMIF('Invulblad WB'!$AD:$AD,$AG27,'Invulblad WB'!$Z:$Z))</f>
        <v>-</v>
      </c>
      <c r="S27" s="262" t="str">
        <f>IF($B27=0,"-",SUMIF('Invulblad WB'!$AD:$AD,$AG27,'Invulblad WB'!$AM:$AM)/SUMIF('Invulblad WB'!$AD:$AD,$AG27,'Invulblad WB'!$X:$X))</f>
        <v>-</v>
      </c>
      <c r="T27" s="263" t="str">
        <f>IF($B27=0,"-",SUMIF('Invulblad WB'!$AD:$AD,$AG27,'Invulblad WB'!$AM:$AM)/SUMIF('Invulblad WB'!$AD:$AD,$AG27,'Invulblad WB'!$AJ:$AJ))</f>
        <v>-</v>
      </c>
      <c r="U27" s="263" t="str">
        <f>IF($B27=0,"-",SUMIF('Invulblad WB'!$AD:$AD,$AG27,'Invulblad WB'!$AM:$AM)/SUMIF('Invulblad WB'!$AD:$AD,$AG27,'Invulblad WB'!$Z:$Z))</f>
        <v>-</v>
      </c>
      <c r="V27" s="262" t="str">
        <f>IF($B27=0,"-",SUMIF('Invulblad WB'!$AD:$AD,$AG27,'Invulblad WB'!$AN:$AN)/SUMIF('Invulblad WB'!$AD:$AD,$AG27,'Invulblad WB'!$X:$X))</f>
        <v>-</v>
      </c>
      <c r="W27" s="263" t="str">
        <f>IF($B27=0,"-",SUMIF('Invulblad WB'!$AD:$AD,$AG27,'Invulblad WB'!$AN:$AN)/SUMIF('Invulblad WB'!$AD:$AD,$AG27,'Invulblad WB'!$AJ:$AJ))</f>
        <v>-</v>
      </c>
      <c r="X27" s="263" t="str">
        <f>IF($B27=0,"-",SUMIF('Invulblad WB'!$AD:$AD,$AG27,'Invulblad WB'!$AN:$AN)/SUMIF('Invulblad WB'!$AD:$AD,$AG27,'Invulblad WB'!$Z:$Z))</f>
        <v>-</v>
      </c>
      <c r="Y27" s="262" t="str">
        <f>IF($B27=0,"-",SUMIF('Invulblad WB'!$AD:$AD,$AG27,'Invulblad WB'!$AO:$AO)/SUMIF('Invulblad WB'!$AD:$AD,$AG27,'Invulblad WB'!$X:$X))</f>
        <v>-</v>
      </c>
      <c r="Z27" s="263" t="str">
        <f>IF($B27=0,"-",SUMIF('Invulblad WB'!$AD:$AD,$AG27,'Invulblad WB'!$AO:$AO)/SUMIF('Invulblad WB'!$AD:$AD,$AG27,'Invulblad WB'!$AJ:$AJ))</f>
        <v>-</v>
      </c>
      <c r="AA27" s="263" t="str">
        <f>IF($B27=0,"-",SUMIF('Invulblad WB'!$AD:$AD,$AG27,'Invulblad WB'!$AO:$AO)/SUMIF('Invulblad WB'!$AD:$AD,$AG27,'Invulblad WB'!$Z:$Z))</f>
        <v>-</v>
      </c>
      <c r="AB27" s="262" t="str">
        <f>IF($B27=0,"-",SUMIF('Invulblad WB'!$AD:$AD,$AG27,'Invulblad WB'!$AF:$AF)/SUMIF('Invulblad WB'!$AD:$AD,$AG27,'Invulblad WB'!$X:$X))</f>
        <v>-</v>
      </c>
      <c r="AC27" s="263" t="str">
        <f>IF($B27=0,"-",SUMIF('Invulblad WB'!$AD:$AD,$AG27,'Invulblad WB'!$AF:$AF)/SUMIF('Invulblad WB'!$AD:$AD,$AG27,'Invulblad WB'!$AJ:$AJ))</f>
        <v>-</v>
      </c>
      <c r="AD27" s="263" t="str">
        <f>IF($B27=0,"-",SUMIF('Invulblad WB'!$AD:$AD,$AG27,'Invulblad WB'!$AF:$AF)/SUMIF('Invulblad WB'!$AD:$AD,$AG27,'Invulblad WB'!$Z:$Z))</f>
        <v>-</v>
      </c>
      <c r="AE27"/>
      <c r="AG27" s="3" t="str">
        <f>$A$21&amp;A27</f>
        <v>MeergezinsDure huur (vanaf € 1.184)</v>
      </c>
    </row>
    <row r="28" spans="1:33" ht="16" thickTop="1" x14ac:dyDescent="0.2">
      <c r="A28" s="4"/>
      <c r="B28" s="56"/>
      <c r="J28" s="248"/>
      <c r="K28" s="248"/>
      <c r="L28" s="248"/>
      <c r="N28" s="2"/>
      <c r="AE28"/>
      <c r="AG28" s="4"/>
    </row>
    <row r="29" spans="1:33" x14ac:dyDescent="0.2">
      <c r="A29" s="4" t="s">
        <v>168</v>
      </c>
      <c r="B29" s="4" t="s">
        <v>80</v>
      </c>
      <c r="C29" s="249"/>
      <c r="D29" s="249"/>
      <c r="E29" s="86"/>
      <c r="F29" s="248"/>
      <c r="G29" s="248"/>
      <c r="H29" s="248"/>
      <c r="I29" s="248"/>
      <c r="J29" s="248"/>
      <c r="K29" s="248"/>
      <c r="L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/>
      <c r="AG29" s="4"/>
    </row>
    <row r="30" spans="1:33" x14ac:dyDescent="0.2">
      <c r="A30" s="19"/>
      <c r="B30" s="228" t="s">
        <v>226</v>
      </c>
      <c r="C30" s="6" t="s">
        <v>246</v>
      </c>
      <c r="D30" s="6" t="s">
        <v>246</v>
      </c>
      <c r="E30" s="6" t="s">
        <v>227</v>
      </c>
      <c r="F30" s="6" t="s">
        <v>37</v>
      </c>
      <c r="G30" s="6" t="s">
        <v>37</v>
      </c>
      <c r="H30" s="6" t="s">
        <v>41</v>
      </c>
      <c r="I30" s="6" t="s">
        <v>216</v>
      </c>
      <c r="J30" s="6" t="s">
        <v>37</v>
      </c>
      <c r="K30" s="6" t="s">
        <v>216</v>
      </c>
      <c r="L30" s="6" t="s">
        <v>216</v>
      </c>
      <c r="N30" s="6"/>
      <c r="O30" s="6" t="s">
        <v>44</v>
      </c>
      <c r="P30" s="6" t="s">
        <v>248</v>
      </c>
      <c r="Q30" s="6" t="s">
        <v>248</v>
      </c>
      <c r="R30" s="6" t="s">
        <v>248</v>
      </c>
      <c r="S30" s="6" t="s">
        <v>249</v>
      </c>
      <c r="T30" s="6" t="s">
        <v>249</v>
      </c>
      <c r="U30" s="6" t="s">
        <v>249</v>
      </c>
      <c r="V30" s="6" t="s">
        <v>48</v>
      </c>
      <c r="W30" s="6" t="s">
        <v>48</v>
      </c>
      <c r="X30" s="6" t="s">
        <v>48</v>
      </c>
      <c r="Y30" s="6" t="s">
        <v>49</v>
      </c>
      <c r="Z30" s="6" t="s">
        <v>49</v>
      </c>
      <c r="AA30" s="6" t="s">
        <v>49</v>
      </c>
      <c r="AB30" s="6" t="s">
        <v>41</v>
      </c>
      <c r="AC30" s="6" t="s">
        <v>41</v>
      </c>
      <c r="AD30" s="6" t="s">
        <v>41</v>
      </c>
      <c r="AE30"/>
      <c r="AG30" s="4"/>
    </row>
    <row r="31" spans="1:33" x14ac:dyDescent="0.2">
      <c r="A31" s="19"/>
      <c r="B31" s="228"/>
      <c r="C31" s="6" t="s">
        <v>228</v>
      </c>
      <c r="D31" s="6" t="s">
        <v>112</v>
      </c>
      <c r="E31" s="6" t="s">
        <v>229</v>
      </c>
      <c r="F31" s="6" t="s">
        <v>40</v>
      </c>
      <c r="G31" s="6" t="s">
        <v>40</v>
      </c>
      <c r="H31" s="6" t="s">
        <v>76</v>
      </c>
      <c r="I31" s="6" t="s">
        <v>76</v>
      </c>
      <c r="J31" s="6" t="s">
        <v>228</v>
      </c>
      <c r="K31" s="6" t="s">
        <v>250</v>
      </c>
      <c r="L31" s="6" t="s">
        <v>219</v>
      </c>
      <c r="N31" s="6"/>
      <c r="O31" s="6" t="s">
        <v>219</v>
      </c>
      <c r="P31" s="6" t="s">
        <v>219</v>
      </c>
      <c r="Q31" s="6" t="s">
        <v>252</v>
      </c>
      <c r="R31" s="6" t="s">
        <v>253</v>
      </c>
      <c r="S31" s="6" t="s">
        <v>219</v>
      </c>
      <c r="T31" s="6" t="s">
        <v>252</v>
      </c>
      <c r="U31" s="6" t="s">
        <v>253</v>
      </c>
      <c r="V31" s="6" t="s">
        <v>219</v>
      </c>
      <c r="W31" s="6" t="s">
        <v>252</v>
      </c>
      <c r="X31" s="6" t="s">
        <v>253</v>
      </c>
      <c r="Y31" s="6" t="s">
        <v>219</v>
      </c>
      <c r="Z31" s="6" t="s">
        <v>252</v>
      </c>
      <c r="AA31" s="6" t="s">
        <v>253</v>
      </c>
      <c r="AB31" s="6" t="s">
        <v>219</v>
      </c>
      <c r="AC31" s="6" t="s">
        <v>252</v>
      </c>
      <c r="AD31" s="6" t="s">
        <v>253</v>
      </c>
      <c r="AE31"/>
      <c r="AG31" s="4"/>
    </row>
    <row r="32" spans="1:33" x14ac:dyDescent="0.2">
      <c r="A32" s="247" t="s">
        <v>51</v>
      </c>
      <c r="B32" s="227"/>
      <c r="C32" s="8"/>
      <c r="D32" s="8"/>
      <c r="E32" s="8"/>
      <c r="F32" s="8" t="s">
        <v>254</v>
      </c>
      <c r="G32" s="8" t="s">
        <v>255</v>
      </c>
      <c r="H32" s="8"/>
      <c r="I32" s="8" t="s">
        <v>255</v>
      </c>
      <c r="J32" s="8" t="s">
        <v>255</v>
      </c>
      <c r="K32" s="8" t="s">
        <v>255</v>
      </c>
      <c r="L32" s="8" t="s">
        <v>255</v>
      </c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/>
      <c r="AG32" s="4"/>
    </row>
    <row r="33" spans="1:33" x14ac:dyDescent="0.2">
      <c r="A33" s="32" t="s">
        <v>236</v>
      </c>
      <c r="B33" s="242">
        <f>SUMIF('Invulblad WB'!$AD:$AD,$AG33,'Invulblad WB'!$E:$E)</f>
        <v>0</v>
      </c>
      <c r="C33" s="246">
        <f>IF(B33=0,0,SUMIF('Invulblad WB'!$AD:$AD,$AG33,'Invulblad WB'!$Y:$Y)/$B33)</f>
        <v>0</v>
      </c>
      <c r="D33" s="245">
        <f>IF(B33=0,0,SUMIF('Invulblad WB'!$AD:$AD,$AG33,'Invulblad WB'!$X:$X)/$B33)</f>
        <v>0</v>
      </c>
      <c r="E33" s="9" t="str">
        <f>IF(B33=0,"-",C33/D33)</f>
        <v>-</v>
      </c>
      <c r="F33" s="240">
        <f>IF(B33=0,0,SUMIF('Invulblad WB'!$AD:$AD,$AG33,'Invulblad WB'!$AE:$AE)/$B33)</f>
        <v>0</v>
      </c>
      <c r="G33" s="240">
        <f>IF(B33=0,0,F33/1.21)</f>
        <v>0</v>
      </c>
      <c r="H33" s="240">
        <f>IF(B33=0,0,SUMIF('Invulblad WB'!$AD:$AD,$AG33,'Invulblad WB'!$AF:$AF)/$B33)</f>
        <v>0</v>
      </c>
      <c r="I33" s="240">
        <f>IF(B33=0,0,SUMIF('Invulblad WB'!$AD:$AD,$AG33,'Invulblad WB'!$AG:$AG)/$B33)</f>
        <v>0</v>
      </c>
      <c r="J33" s="240">
        <f>IF(B33=0,0,F33/$C33)</f>
        <v>0</v>
      </c>
      <c r="K33" s="240">
        <f>IF(B33=0,0,I33/$C33)</f>
        <v>0</v>
      </c>
      <c r="L33" s="240">
        <f>IF(D33=0,0,I33/$D33)</f>
        <v>0</v>
      </c>
      <c r="N33" s="9"/>
      <c r="O33" s="240" t="str">
        <f>IF($B33=0,"-",SUMIF('Invulblad WB'!$AD:$AD,$AG33,'Invulblad WB'!$AJ:$AJ)/SUMIF('Invulblad WB'!$AD:$AD,$AG33,'Invulblad WB'!$X:$X))</f>
        <v>-</v>
      </c>
      <c r="P33" s="240" t="str">
        <f>IF($B33=0,"-",SUMIF('Invulblad WB'!$AD:$AD,$AG33,'Invulblad WB'!$AL:$AL)/SUMIF('Invulblad WB'!$AD:$AD,$AG33,'Invulblad WB'!$X:$X))</f>
        <v>-</v>
      </c>
      <c r="Q33" s="9" t="str">
        <f>IF($B33=0,"-",SUMIF('Invulblad WB'!$AD:$AD,$AG33,'Invulblad WB'!$AL:$AL)/SUMIF('Invulblad WB'!$AD:$AD,$AG33,'Invulblad WB'!$AJ:$AJ))</f>
        <v>-</v>
      </c>
      <c r="R33" s="9" t="str">
        <f>IF($B33=0,"-",SUMIF('Invulblad WB'!$AD:$AD,$AG33,'Invulblad WB'!$AL:$AL)/SUMIF('Invulblad WB'!$AD:$AD,$AG33,'Invulblad WB'!$Z:$Z))</f>
        <v>-</v>
      </c>
      <c r="S33" s="240" t="str">
        <f>IF($B33=0,"-",SUMIF('Invulblad WB'!$AD:$AD,$AG33,'Invulblad WB'!$AM:$AM)/SUMIF('Invulblad WB'!$AD:$AD,$AG33,'Invulblad WB'!$X:$X))</f>
        <v>-</v>
      </c>
      <c r="T33" s="9" t="str">
        <f>IF($B33=0,"-",SUMIF('Invulblad WB'!$AD:$AD,$AG33,'Invulblad WB'!$AM:$AM)/SUMIF('Invulblad WB'!$AD:$AD,$AG33,'Invulblad WB'!$AJ:$AJ))</f>
        <v>-</v>
      </c>
      <c r="U33" s="9" t="str">
        <f>IF($B33=0,"-",SUMIF('Invulblad WB'!$AD:$AD,$AG33,'Invulblad WB'!$AM:$AM)/SUMIF('Invulblad WB'!$AD:$AD,$AG33,'Invulblad WB'!$Z:$Z))</f>
        <v>-</v>
      </c>
      <c r="V33" s="240" t="str">
        <f>IF($B33=0,"-",SUMIF('Invulblad WB'!$AD:$AD,$AG33,'Invulblad WB'!$AN:$AN)/SUMIF('Invulblad WB'!$AD:$AD,$AG33,'Invulblad WB'!$X:$X))</f>
        <v>-</v>
      </c>
      <c r="W33" s="9" t="str">
        <f>IF($B33=0,"-",SUMIF('Invulblad WB'!$AD:$AD,$AG33,'Invulblad WB'!$AN:$AN)/SUMIF('Invulblad WB'!$AD:$AD,$AG33,'Invulblad WB'!$AJ:$AJ))</f>
        <v>-</v>
      </c>
      <c r="X33" s="9" t="str">
        <f>IF($B33=0,"-",SUMIF('Invulblad WB'!$AD:$AD,$AG33,'Invulblad WB'!$AN:$AN)/SUMIF('Invulblad WB'!$AD:$AD,$AG33,'Invulblad WB'!$Z:$Z))</f>
        <v>-</v>
      </c>
      <c r="Y33" s="240" t="str">
        <f>IF($B33=0,"-",SUMIF('Invulblad WB'!$AD:$AD,$AG33,'Invulblad WB'!$AO:$AO)/SUMIF('Invulblad WB'!$AD:$AD,$AG33,'Invulblad WB'!$X:$X))</f>
        <v>-</v>
      </c>
      <c r="Z33" s="9" t="str">
        <f>IF($B33=0,"-",SUMIF('Invulblad WB'!$AD:$AD,$AG33,'Invulblad WB'!$AO:$AO)/SUMIF('Invulblad WB'!$AD:$AD,$AG33,'Invulblad WB'!$AJ:$AJ))</f>
        <v>-</v>
      </c>
      <c r="AA33" s="9" t="str">
        <f>IF($B33=0,"-",SUMIF('Invulblad WB'!$AD:$AD,$AG33,'Invulblad WB'!$AO:$AO)/SUMIF('Invulblad WB'!$AD:$AD,$AG33,'Invulblad WB'!$Z:$Z))</f>
        <v>-</v>
      </c>
      <c r="AB33" s="240" t="str">
        <f>IF($B33=0,"-",SUMIF('Invulblad WB'!$AD:$AD,$AG33,'Invulblad WB'!$AF:$AF)/SUMIF('Invulblad WB'!$AD:$AD,$AG33,'Invulblad WB'!$X:$X))</f>
        <v>-</v>
      </c>
      <c r="AC33" s="9" t="str">
        <f>IF($B33=0,"-",SUMIF('Invulblad WB'!$AD:$AD,$AG33,'Invulblad WB'!$AF:$AF)/SUMIF('Invulblad WB'!$AD:$AD,$AG33,'Invulblad WB'!$AJ:$AJ))</f>
        <v>-</v>
      </c>
      <c r="AD33" s="9" t="str">
        <f>IF($B33=0,"-",SUMIF('Invulblad WB'!$AD:$AD,$AG33,'Invulblad WB'!$AF:$AF)/SUMIF('Invulblad WB'!$AD:$AD,$AG33,'Invulblad WB'!$Z:$Z))</f>
        <v>-</v>
      </c>
      <c r="AE33"/>
      <c r="AG33" s="3" t="str">
        <f>$A$21&amp;A33</f>
        <v>MeergezinsSociale koop (tot € 240.000)</v>
      </c>
    </row>
    <row r="34" spans="1:33" x14ac:dyDescent="0.2">
      <c r="A34" s="33" t="s">
        <v>237</v>
      </c>
      <c r="B34" s="242">
        <f>SUMIF('Invulblad WB'!$AD:$AD,$AG34,'Invulblad WB'!$E:$E)</f>
        <v>0</v>
      </c>
      <c r="C34" s="246">
        <f>IF(B34=0,0,SUMIF('Invulblad WB'!$AD:$AD,$AG34,'Invulblad WB'!$Y:$Y)/$B34)</f>
        <v>0</v>
      </c>
      <c r="D34" s="245">
        <f>IF(B34=0,0,SUMIF('Invulblad WB'!$AD:$AD,$AG34,'Invulblad WB'!$X:$X)/$B34)</f>
        <v>0</v>
      </c>
      <c r="E34" s="12" t="str">
        <f>IF(B34=0,"-",C34/D34)</f>
        <v>-</v>
      </c>
      <c r="F34" s="240">
        <f>IF(B34=0,0,SUMIF('Invulblad WB'!$AD:$AD,$AG34,'Invulblad WB'!$AE:$AE)/$B34)</f>
        <v>0</v>
      </c>
      <c r="G34" s="223">
        <f>IF(B34=0,0,F34/1.21)</f>
        <v>0</v>
      </c>
      <c r="H34" s="240">
        <f>IF(B34=0,0,SUMIF('Invulblad WB'!$AD:$AD,$AG34,'Invulblad WB'!$AF:$AF)/$B34)</f>
        <v>0</v>
      </c>
      <c r="I34" s="240">
        <f>IF(B34=0,0,SUMIF('Invulblad WB'!$AD:$AD,$AG34,'Invulblad WB'!$AG:$AG)/$B34)</f>
        <v>0</v>
      </c>
      <c r="J34" s="240">
        <f>IF(B34=0,0,F34/$C34)</f>
        <v>0</v>
      </c>
      <c r="K34" s="223">
        <f>IF(B34=0,0,I34/$C34)</f>
        <v>0</v>
      </c>
      <c r="L34" s="240">
        <f t="shared" ref="L34:L37" si="1">IF(D34=0,0,I34/$D34)</f>
        <v>0</v>
      </c>
      <c r="N34" s="9"/>
      <c r="O34" s="240" t="str">
        <f>IF($B34=0,"-",SUMIF('Invulblad WB'!$AD:$AD,$AG34,'Invulblad WB'!$AJ:$AJ)/SUMIF('Invulblad WB'!$AD:$AD,$AG34,'Invulblad WB'!$X:$X))</f>
        <v>-</v>
      </c>
      <c r="P34" s="240" t="str">
        <f>IF($B34=0,"-",SUMIF('Invulblad WB'!$AD:$AD,$AG34,'Invulblad WB'!$AL:$AL)/SUMIF('Invulblad WB'!$AD:$AD,$AG34,'Invulblad WB'!$X:$X))</f>
        <v>-</v>
      </c>
      <c r="Q34" s="9" t="str">
        <f>IF($B34=0,"-",SUMIF('Invulblad WB'!$AD:$AD,$AG34,'Invulblad WB'!$AL:$AL)/SUMIF('Invulblad WB'!$AD:$AD,$AG34,'Invulblad WB'!$AJ:$AJ))</f>
        <v>-</v>
      </c>
      <c r="R34" s="9" t="str">
        <f>IF($B34=0,"-",SUMIF('Invulblad WB'!$AD:$AD,$AG34,'Invulblad WB'!$AL:$AL)/SUMIF('Invulblad WB'!$AD:$AD,$AG34,'Invulblad WB'!$Z:$Z))</f>
        <v>-</v>
      </c>
      <c r="S34" s="240" t="str">
        <f>IF($B34=0,"-",SUMIF('Invulblad WB'!$AD:$AD,$AG34,'Invulblad WB'!$AM:$AM)/SUMIF('Invulblad WB'!$AD:$AD,$AG34,'Invulblad WB'!$X:$X))</f>
        <v>-</v>
      </c>
      <c r="T34" s="9" t="str">
        <f>IF($B34=0,"-",SUMIF('Invulblad WB'!$AD:$AD,$AG34,'Invulblad WB'!$AM:$AM)/SUMIF('Invulblad WB'!$AD:$AD,$AG34,'Invulblad WB'!$AJ:$AJ))</f>
        <v>-</v>
      </c>
      <c r="U34" s="9" t="str">
        <f>IF($B34=0,"-",SUMIF('Invulblad WB'!$AD:$AD,$AG34,'Invulblad WB'!$AM:$AM)/SUMIF('Invulblad WB'!$AD:$AD,$AG34,'Invulblad WB'!$Z:$Z))</f>
        <v>-</v>
      </c>
      <c r="V34" s="240" t="str">
        <f>IF($B34=0,"-",SUMIF('Invulblad WB'!$AD:$AD,$AG34,'Invulblad WB'!$AN:$AN)/SUMIF('Invulblad WB'!$AD:$AD,$AG34,'Invulblad WB'!$X:$X))</f>
        <v>-</v>
      </c>
      <c r="W34" s="9" t="str">
        <f>IF($B34=0,"-",SUMIF('Invulblad WB'!$AD:$AD,$AG34,'Invulblad WB'!$AN:$AN)/SUMIF('Invulblad WB'!$AD:$AD,$AG34,'Invulblad WB'!$AJ:$AJ))</f>
        <v>-</v>
      </c>
      <c r="X34" s="9" t="str">
        <f>IF($B34=0,"-",SUMIF('Invulblad WB'!$AD:$AD,$AG34,'Invulblad WB'!$AN:$AN)/SUMIF('Invulblad WB'!$AD:$AD,$AG34,'Invulblad WB'!$Z:$Z))</f>
        <v>-</v>
      </c>
      <c r="Y34" s="240" t="str">
        <f>IF($B34=0,"-",SUMIF('Invulblad WB'!$AD:$AD,$AG34,'Invulblad WB'!$AO:$AO)/SUMIF('Invulblad WB'!$AD:$AD,$AG34,'Invulblad WB'!$X:$X))</f>
        <v>-</v>
      </c>
      <c r="Z34" s="9" t="str">
        <f>IF($B34=0,"-",SUMIF('Invulblad WB'!$AD:$AD,$AG34,'Invulblad WB'!$AO:$AO)/SUMIF('Invulblad WB'!$AD:$AD,$AG34,'Invulblad WB'!$AJ:$AJ))</f>
        <v>-</v>
      </c>
      <c r="AA34" s="9" t="str">
        <f>IF($B34=0,"-",SUMIF('Invulblad WB'!$AD:$AD,$AG34,'Invulblad WB'!$AO:$AO)/SUMIF('Invulblad WB'!$AD:$AD,$AG34,'Invulblad WB'!$Z:$Z))</f>
        <v>-</v>
      </c>
      <c r="AB34" s="240" t="str">
        <f>IF($B34=0,"-",SUMIF('Invulblad WB'!$AD:$AD,$AG34,'Invulblad WB'!$AF:$AF)/SUMIF('Invulblad WB'!$AD:$AD,$AG34,'Invulblad WB'!$X:$X))</f>
        <v>-</v>
      </c>
      <c r="AC34" s="9" t="str">
        <f>IF($B34=0,"-",SUMIF('Invulblad WB'!$AD:$AD,$AG34,'Invulblad WB'!$AF:$AF)/SUMIF('Invulblad WB'!$AD:$AD,$AG34,'Invulblad WB'!$AJ:$AJ))</f>
        <v>-</v>
      </c>
      <c r="AD34" s="9" t="str">
        <f>IF($B34=0,"-",SUMIF('Invulblad WB'!$AD:$AD,$AG34,'Invulblad WB'!$AF:$AF)/SUMIF('Invulblad WB'!$AD:$AD,$AG34,'Invulblad WB'!$Z:$Z))</f>
        <v>-</v>
      </c>
      <c r="AE34"/>
      <c r="AG34" s="3" t="str">
        <f>$A$21&amp;A34</f>
        <v>MeergezinsLage middeldure koop (van € 240.000 tot € 285.000)</v>
      </c>
    </row>
    <row r="35" spans="1:33" x14ac:dyDescent="0.2">
      <c r="A35" s="32" t="s">
        <v>238</v>
      </c>
      <c r="B35" s="242">
        <f>SUMIF('Invulblad WB'!$AD:$AD,$AG35,'Invulblad WB'!$E:$E)</f>
        <v>0</v>
      </c>
      <c r="C35" s="246">
        <f>IF(B35=0,0,SUMIF('Invulblad WB'!$AD:$AD,$AG35,'Invulblad WB'!$Y:$Y)/$B35)</f>
        <v>0</v>
      </c>
      <c r="D35" s="245">
        <f>IF(B35=0,0,SUMIF('Invulblad WB'!$AD:$AD,$AG35,'Invulblad WB'!$X:$X)/$B35)</f>
        <v>0</v>
      </c>
      <c r="E35" s="9" t="str">
        <f>IF(B35=0,"-",C35/D35)</f>
        <v>-</v>
      </c>
      <c r="F35" s="240">
        <f>IF(B35=0,0,SUMIF('Invulblad WB'!$AD:$AD,$AG35,'Invulblad WB'!$AE:$AE)/$B35)</f>
        <v>0</v>
      </c>
      <c r="G35" s="240">
        <f>IF(B35=0,0,F35/1.21)</f>
        <v>0</v>
      </c>
      <c r="H35" s="240">
        <f>IF(B35=0,0,SUMIF('Invulblad WB'!$AD:$AD,$AG35,'Invulblad WB'!$AF:$AF)/$B35)</f>
        <v>0</v>
      </c>
      <c r="I35" s="240">
        <f>IF(B35=0,0,SUMIF('Invulblad WB'!$AD:$AD,$AG35,'Invulblad WB'!$AG:$AG)/$B35)</f>
        <v>0</v>
      </c>
      <c r="J35" s="240">
        <f>IF(B35=0,0,F35/$C35)</f>
        <v>0</v>
      </c>
      <c r="K35" s="240">
        <f>IF(B35=0,0,I35/$C35)</f>
        <v>0</v>
      </c>
      <c r="L35" s="240">
        <f t="shared" si="1"/>
        <v>0</v>
      </c>
      <c r="N35" s="9"/>
      <c r="O35" s="240" t="str">
        <f>IF($B35=0,"-",SUMIF('Invulblad WB'!$AD:$AD,$AG35,'Invulblad WB'!$AJ:$AJ)/SUMIF('Invulblad WB'!$AD:$AD,$AG35,'Invulblad WB'!$X:$X))</f>
        <v>-</v>
      </c>
      <c r="P35" s="240" t="str">
        <f>IF($B35=0,"-",SUMIF('Invulblad WB'!$AD:$AD,$AG35,'Invulblad WB'!$AL:$AL)/SUMIF('Invulblad WB'!$AD:$AD,$AG35,'Invulblad WB'!$X:$X))</f>
        <v>-</v>
      </c>
      <c r="Q35" s="9" t="str">
        <f>IF($B35=0,"-",SUMIF('Invulblad WB'!$AD:$AD,$AG35,'Invulblad WB'!$AL:$AL)/SUMIF('Invulblad WB'!$AD:$AD,$AG35,'Invulblad WB'!$AJ:$AJ))</f>
        <v>-</v>
      </c>
      <c r="R35" s="9" t="str">
        <f>IF($B35=0,"-",SUMIF('Invulblad WB'!$AD:$AD,$AG35,'Invulblad WB'!$AL:$AL)/SUMIF('Invulblad WB'!$AD:$AD,$AG35,'Invulblad WB'!$Z:$Z))</f>
        <v>-</v>
      </c>
      <c r="S35" s="240" t="str">
        <f>IF($B35=0,"-",SUMIF('Invulblad WB'!$AD:$AD,$AG35,'Invulblad WB'!$AM:$AM)/SUMIF('Invulblad WB'!$AD:$AD,$AG35,'Invulblad WB'!$X:$X))</f>
        <v>-</v>
      </c>
      <c r="T35" s="9" t="str">
        <f>IF($B35=0,"-",SUMIF('Invulblad WB'!$AD:$AD,$AG35,'Invulblad WB'!$AM:$AM)/SUMIF('Invulblad WB'!$AD:$AD,$AG35,'Invulblad WB'!$AJ:$AJ))</f>
        <v>-</v>
      </c>
      <c r="U35" s="9" t="str">
        <f>IF($B35=0,"-",SUMIF('Invulblad WB'!$AD:$AD,$AG35,'Invulblad WB'!$AM:$AM)/SUMIF('Invulblad WB'!$AD:$AD,$AG35,'Invulblad WB'!$Z:$Z))</f>
        <v>-</v>
      </c>
      <c r="V35" s="240" t="str">
        <f>IF($B35=0,"-",SUMIF('Invulblad WB'!$AD:$AD,$AG35,'Invulblad WB'!$AN:$AN)/SUMIF('Invulblad WB'!$AD:$AD,$AG35,'Invulblad WB'!$X:$X))</f>
        <v>-</v>
      </c>
      <c r="W35" s="9" t="str">
        <f>IF($B35=0,"-",SUMIF('Invulblad WB'!$AD:$AD,$AG35,'Invulblad WB'!$AN:$AN)/SUMIF('Invulblad WB'!$AD:$AD,$AG35,'Invulblad WB'!$AJ:$AJ))</f>
        <v>-</v>
      </c>
      <c r="X35" s="9" t="str">
        <f>IF($B35=0,"-",SUMIF('Invulblad WB'!$AD:$AD,$AG35,'Invulblad WB'!$AN:$AN)/SUMIF('Invulblad WB'!$AD:$AD,$AG35,'Invulblad WB'!$Z:$Z))</f>
        <v>-</v>
      </c>
      <c r="Y35" s="240" t="str">
        <f>IF($B35=0,"-",SUMIF('Invulblad WB'!$AD:$AD,$AG35,'Invulblad WB'!$AO:$AO)/SUMIF('Invulblad WB'!$AD:$AD,$AG35,'Invulblad WB'!$X:$X))</f>
        <v>-</v>
      </c>
      <c r="Z35" s="9" t="str">
        <f>IF($B35=0,"-",SUMIF('Invulblad WB'!$AD:$AD,$AG35,'Invulblad WB'!$AO:$AO)/SUMIF('Invulblad WB'!$AD:$AD,$AG35,'Invulblad WB'!$AJ:$AJ))</f>
        <v>-</v>
      </c>
      <c r="AA35" s="9" t="str">
        <f>IF($B35=0,"-",SUMIF('Invulblad WB'!$AD:$AD,$AG35,'Invulblad WB'!$AO:$AO)/SUMIF('Invulblad WB'!$AD:$AD,$AG35,'Invulblad WB'!$Z:$Z))</f>
        <v>-</v>
      </c>
      <c r="AB35" s="240" t="str">
        <f>IF($B35=0,"-",SUMIF('Invulblad WB'!$AD:$AD,$AG35,'Invulblad WB'!$AF:$AF)/SUMIF('Invulblad WB'!$AD:$AD,$AG35,'Invulblad WB'!$X:$X))</f>
        <v>-</v>
      </c>
      <c r="AC35" s="9" t="str">
        <f>IF($B35=0,"-",SUMIF('Invulblad WB'!$AD:$AD,$AG35,'Invulblad WB'!$AF:$AF)/SUMIF('Invulblad WB'!$AD:$AD,$AG35,'Invulblad WB'!$AJ:$AJ))</f>
        <v>-</v>
      </c>
      <c r="AD35" s="9" t="str">
        <f>IF($B35=0,"-",SUMIF('Invulblad WB'!$AD:$AD,$AG35,'Invulblad WB'!$AF:$AF)/SUMIF('Invulblad WB'!$AD:$AD,$AG35,'Invulblad WB'!$Z:$Z))</f>
        <v>-</v>
      </c>
      <c r="AE35"/>
      <c r="AG35" s="3" t="str">
        <f>$A$21&amp;A35</f>
        <v>MeergezinsMidden middeldure koop (van € 285.000 tot € 330.000)</v>
      </c>
    </row>
    <row r="36" spans="1:33" x14ac:dyDescent="0.2">
      <c r="A36" s="32" t="s">
        <v>239</v>
      </c>
      <c r="B36" s="242">
        <f>SUMIF('Invulblad WB'!$AD:$AD,$AG36,'Invulblad WB'!$E:$E)</f>
        <v>0</v>
      </c>
      <c r="C36" s="246">
        <f>IF(B36=0,0,SUMIF('Invulblad WB'!$AD:$AD,$AG36,'Invulblad WB'!$Y:$Y)/$B36)</f>
        <v>0</v>
      </c>
      <c r="D36" s="245">
        <f>IF(B36=0,0,SUMIF('Invulblad WB'!$AD:$AD,$AG36,'Invulblad WB'!$X:$X)/$B36)</f>
        <v>0</v>
      </c>
      <c r="E36" s="9" t="str">
        <f>IF(B36=0,"-",C36/D36)</f>
        <v>-</v>
      </c>
      <c r="F36" s="240">
        <f>IF(B36=0,0,SUMIF('Invulblad WB'!$AD:$AD,$AG36,'Invulblad WB'!$AE:$AE)/$B36)</f>
        <v>0</v>
      </c>
      <c r="G36" s="240">
        <f>IF(B36=0,0,F36/1.21)</f>
        <v>0</v>
      </c>
      <c r="H36" s="240">
        <f>IF(B36=0,0,SUMIF('Invulblad WB'!$AD:$AD,$AG36,'Invulblad WB'!$AF:$AF)/$B36)</f>
        <v>0</v>
      </c>
      <c r="I36" s="240">
        <f>IF(B36=0,0,SUMIF('Invulblad WB'!$AD:$AD,$AG36,'Invulblad WB'!$AG:$AG)/$B36)</f>
        <v>0</v>
      </c>
      <c r="J36" s="240">
        <f>IF(B36=0,0,F36/$C36)</f>
        <v>0</v>
      </c>
      <c r="K36" s="240">
        <f>IF(B36=0,0,I36/$C36)</f>
        <v>0</v>
      </c>
      <c r="L36" s="240">
        <f>IF(D36=0,0,I36/$D36)</f>
        <v>0</v>
      </c>
      <c r="N36" s="9"/>
      <c r="O36" s="240" t="str">
        <f>IF($B36=0,"-",SUMIF('Invulblad WB'!$AD:$AD,$AG36,'Invulblad WB'!$AJ:$AJ)/SUMIF('Invulblad WB'!$AD:$AD,$AG36,'Invulblad WB'!$X:$X))</f>
        <v>-</v>
      </c>
      <c r="P36" s="240" t="str">
        <f>IF($B36=0,"-",SUMIF('Invulblad WB'!$AD:$AD,$AG36,'Invulblad WB'!$AL:$AL)/SUMIF('Invulblad WB'!$AD:$AD,$AG36,'Invulblad WB'!$X:$X))</f>
        <v>-</v>
      </c>
      <c r="Q36" s="9" t="str">
        <f>IF($B36=0,"-",SUMIF('Invulblad WB'!$AD:$AD,$AG36,'Invulblad WB'!$AL:$AL)/SUMIF('Invulblad WB'!$AD:$AD,$AG36,'Invulblad WB'!$AJ:$AJ))</f>
        <v>-</v>
      </c>
      <c r="R36" s="9" t="str">
        <f>IF($B36=0,"-",SUMIF('Invulblad WB'!$AD:$AD,$AG36,'Invulblad WB'!$AL:$AL)/SUMIF('Invulblad WB'!$AD:$AD,$AG36,'Invulblad WB'!$Z:$Z))</f>
        <v>-</v>
      </c>
      <c r="S36" s="240" t="str">
        <f>IF($B36=0,"-",SUMIF('Invulblad WB'!$AD:$AD,$AG36,'Invulblad WB'!$AM:$AM)/SUMIF('Invulblad WB'!$AD:$AD,$AG36,'Invulblad WB'!$X:$X))</f>
        <v>-</v>
      </c>
      <c r="T36" s="9" t="str">
        <f>IF($B36=0,"-",SUMIF('Invulblad WB'!$AD:$AD,$AG36,'Invulblad WB'!$AM:$AM)/SUMIF('Invulblad WB'!$AD:$AD,$AG36,'Invulblad WB'!$AJ:$AJ))</f>
        <v>-</v>
      </c>
      <c r="U36" s="9" t="str">
        <f>IF($B36=0,"-",SUMIF('Invulblad WB'!$AD:$AD,$AG36,'Invulblad WB'!$AM:$AM)/SUMIF('Invulblad WB'!$AD:$AD,$AG36,'Invulblad WB'!$Z:$Z))</f>
        <v>-</v>
      </c>
      <c r="V36" s="240" t="str">
        <f>IF($B36=0,"-",SUMIF('Invulblad WB'!$AD:$AD,$AG36,'Invulblad WB'!$AN:$AN)/SUMIF('Invulblad WB'!$AD:$AD,$AG36,'Invulblad WB'!$X:$X))</f>
        <v>-</v>
      </c>
      <c r="W36" s="9" t="str">
        <f>IF($B36=0,"-",SUMIF('Invulblad WB'!$AD:$AD,$AG36,'Invulblad WB'!$AN:$AN)/SUMIF('Invulblad WB'!$AD:$AD,$AG36,'Invulblad WB'!$AJ:$AJ))</f>
        <v>-</v>
      </c>
      <c r="X36" s="9" t="str">
        <f>IF($B36=0,"-",SUMIF('Invulblad WB'!$AD:$AD,$AG36,'Invulblad WB'!$AN:$AN)/SUMIF('Invulblad WB'!$AD:$AD,$AG36,'Invulblad WB'!$Z:$Z))</f>
        <v>-</v>
      </c>
      <c r="Y36" s="240" t="str">
        <f>IF($B36=0,"-",SUMIF('Invulblad WB'!$AD:$AD,$AG36,'Invulblad WB'!$AO:$AO)/SUMIF('Invulblad WB'!$AD:$AD,$AG36,'Invulblad WB'!$X:$X))</f>
        <v>-</v>
      </c>
      <c r="Z36" s="9" t="str">
        <f>IF($B36=0,"-",SUMIF('Invulblad WB'!$AD:$AD,$AG36,'Invulblad WB'!$AO:$AO)/SUMIF('Invulblad WB'!$AD:$AD,$AG36,'Invulblad WB'!$AJ:$AJ))</f>
        <v>-</v>
      </c>
      <c r="AA36" s="9" t="str">
        <f>IF($B36=0,"-",SUMIF('Invulblad WB'!$AD:$AD,$AG36,'Invulblad WB'!$AO:$AO)/SUMIF('Invulblad WB'!$AD:$AD,$AG36,'Invulblad WB'!$Z:$Z))</f>
        <v>-</v>
      </c>
      <c r="AB36" s="240" t="str">
        <f>IF($B36=0,"-",SUMIF('Invulblad WB'!$AD:$AD,$AG36,'Invulblad WB'!$AF:$AF)/SUMIF('Invulblad WB'!$AD:$AD,$AG36,'Invulblad WB'!$X:$X))</f>
        <v>-</v>
      </c>
      <c r="AC36" s="9" t="str">
        <f>IF($B36=0,"-",SUMIF('Invulblad WB'!$AD:$AD,$AG36,'Invulblad WB'!$AF:$AF)/SUMIF('Invulblad WB'!$AD:$AD,$AG36,'Invulblad WB'!$AJ:$AJ))</f>
        <v>-</v>
      </c>
      <c r="AD36" s="9" t="str">
        <f>IF($B36=0,"-",SUMIF('Invulblad WB'!$AD:$AD,$AG36,'Invulblad WB'!$AF:$AF)/SUMIF('Invulblad WB'!$AD:$AD,$AG36,'Invulblad WB'!$Z:$Z))</f>
        <v>-</v>
      </c>
      <c r="AE36"/>
      <c r="AG36" s="3" t="str">
        <f>$A$21&amp;A36</f>
        <v>MeergezinsHoge middeldure koop (van € 330.000 tot € 405.000)</v>
      </c>
    </row>
    <row r="37" spans="1:33" s="56" customFormat="1" ht="16" thickBot="1" x14ac:dyDescent="0.25">
      <c r="A37" s="36" t="s">
        <v>240</v>
      </c>
      <c r="B37" s="222">
        <f>SUMIF('Invulblad WB'!$AD:$AD,$AG37,'Invulblad WB'!$E:$E)</f>
        <v>0</v>
      </c>
      <c r="C37" s="260">
        <f>IF(B37=0,0,SUMIF('Invulblad WB'!$AD:$AD,$AG37,'Invulblad WB'!$Y:$Y)/$B37)</f>
        <v>0</v>
      </c>
      <c r="D37" s="261">
        <f>IF(B37=0,0,SUMIF('Invulblad WB'!$AD:$AD,$AG37,'Invulblad WB'!$X:$X)/$B37)</f>
        <v>0</v>
      </c>
      <c r="E37" s="263" t="str">
        <f>IF(B37=0,"-",C37/D37)</f>
        <v>-</v>
      </c>
      <c r="F37" s="262">
        <f>IF(B37=0,0,SUMIF('Invulblad WB'!$AD:$AD,$AG37,'Invulblad WB'!$AE:$AE)/$B37)</f>
        <v>0</v>
      </c>
      <c r="G37" s="262">
        <f>IF(B37=0,0,F37/1.21)</f>
        <v>0</v>
      </c>
      <c r="H37" s="262">
        <f>IF(B37=0,0,SUMIF('Invulblad WB'!$AD:$AD,$AG37,'Invulblad WB'!$AF:$AF)/$B37)</f>
        <v>0</v>
      </c>
      <c r="I37" s="262">
        <f>IF(B37=0,0,SUMIF('Invulblad WB'!$AD:$AD,$AG37,'Invulblad WB'!$AG:$AG)/$B37)</f>
        <v>0</v>
      </c>
      <c r="J37" s="262">
        <f>IF(B37=0,0,F37/$C37)</f>
        <v>0</v>
      </c>
      <c r="K37" s="262">
        <f>IF(B37=0,0,I37/$C37)</f>
        <v>0</v>
      </c>
      <c r="L37" s="262">
        <f t="shared" si="1"/>
        <v>0</v>
      </c>
      <c r="M37"/>
      <c r="N37" s="263"/>
      <c r="O37" s="262" t="str">
        <f>IF($B37=0,"-",SUMIF('Invulblad WB'!$AD:$AD,$AG37,'Invulblad WB'!$AJ:$AJ)/SUMIF('Invulblad WB'!$AD:$AD,$AG37,'Invulblad WB'!$X:$X))</f>
        <v>-</v>
      </c>
      <c r="P37" s="262" t="str">
        <f>IF($B37=0,"-",SUMIF('Invulblad WB'!$AD:$AD,$AG37,'Invulblad WB'!$AL:$AL)/SUMIF('Invulblad WB'!$AD:$AD,$AG37,'Invulblad WB'!$X:$X))</f>
        <v>-</v>
      </c>
      <c r="Q37" s="263" t="str">
        <f>IF($B37=0,"-",SUMIF('Invulblad WB'!$AD:$AD,$AG37,'Invulblad WB'!$AL:$AL)/SUMIF('Invulblad WB'!$AD:$AD,$AG37,'Invulblad WB'!$AJ:$AJ))</f>
        <v>-</v>
      </c>
      <c r="R37" s="263" t="str">
        <f>IF($B37=0,"-",SUMIF('Invulblad WB'!$AD:$AD,$AG37,'Invulblad WB'!$AL:$AL)/SUMIF('Invulblad WB'!$AD:$AD,$AG37,'Invulblad WB'!$Z:$Z))</f>
        <v>-</v>
      </c>
      <c r="S37" s="262" t="str">
        <f>IF($B37=0,"-",SUMIF('Invulblad WB'!$AD:$AD,$AG37,'Invulblad WB'!$AM:$AM)/SUMIF('Invulblad WB'!$AD:$AD,$AG37,'Invulblad WB'!$X:$X))</f>
        <v>-</v>
      </c>
      <c r="T37" s="263" t="str">
        <f>IF($B37=0,"-",SUMIF('Invulblad WB'!$AD:$AD,$AG37,'Invulblad WB'!$AM:$AM)/SUMIF('Invulblad WB'!$AD:$AD,$AG37,'Invulblad WB'!$AJ:$AJ))</f>
        <v>-</v>
      </c>
      <c r="U37" s="263" t="str">
        <f>IF($B37=0,"-",SUMIF('Invulblad WB'!$AD:$AD,$AG37,'Invulblad WB'!$AM:$AM)/SUMIF('Invulblad WB'!$AD:$AD,$AG37,'Invulblad WB'!$Z:$Z))</f>
        <v>-</v>
      </c>
      <c r="V37" s="262" t="str">
        <f>IF($B37=0,"-",SUMIF('Invulblad WB'!$AD:$AD,$AG37,'Invulblad WB'!$AN:$AN)/SUMIF('Invulblad WB'!$AD:$AD,$AG37,'Invulblad WB'!$X:$X))</f>
        <v>-</v>
      </c>
      <c r="W37" s="263" t="str">
        <f>IF($B37=0,"-",SUMIF('Invulblad WB'!$AD:$AD,$AG37,'Invulblad WB'!$AN:$AN)/SUMIF('Invulblad WB'!$AD:$AD,$AG37,'Invulblad WB'!$AJ:$AJ))</f>
        <v>-</v>
      </c>
      <c r="X37" s="263" t="str">
        <f>IF($B37=0,"-",SUMIF('Invulblad WB'!$AD:$AD,$AG37,'Invulblad WB'!$AN:$AN)/SUMIF('Invulblad WB'!$AD:$AD,$AG37,'Invulblad WB'!$Z:$Z))</f>
        <v>-</v>
      </c>
      <c r="Y37" s="262" t="str">
        <f>IF($B37=0,"-",SUMIF('Invulblad WB'!$AD:$AD,$AG37,'Invulblad WB'!$AO:$AO)/SUMIF('Invulblad WB'!$AD:$AD,$AG37,'Invulblad WB'!$X:$X))</f>
        <v>-</v>
      </c>
      <c r="Z37" s="263" t="str">
        <f>IF($B37=0,"-",SUMIF('Invulblad WB'!$AD:$AD,$AG37,'Invulblad WB'!$AO:$AO)/SUMIF('Invulblad WB'!$AD:$AD,$AG37,'Invulblad WB'!$AJ:$AJ))</f>
        <v>-</v>
      </c>
      <c r="AA37" s="263" t="str">
        <f>IF($B37=0,"-",SUMIF('Invulblad WB'!$AD:$AD,$AG37,'Invulblad WB'!$AO:$AO)/SUMIF('Invulblad WB'!$AD:$AD,$AG37,'Invulblad WB'!$Z:$Z))</f>
        <v>-</v>
      </c>
      <c r="AB37" s="262" t="str">
        <f>IF($B37=0,"-",SUMIF('Invulblad WB'!$AD:$AD,$AG37,'Invulblad WB'!$AF:$AF)/SUMIF('Invulblad WB'!$AD:$AD,$AG37,'Invulblad WB'!$X:$X))</f>
        <v>-</v>
      </c>
      <c r="AC37" s="263" t="str">
        <f>IF($B37=0,"-",SUMIF('Invulblad WB'!$AD:$AD,$AG37,'Invulblad WB'!$AF:$AF)/SUMIF('Invulblad WB'!$AD:$AD,$AG37,'Invulblad WB'!$AJ:$AJ))</f>
        <v>-</v>
      </c>
      <c r="AD37" s="263" t="str">
        <f>IF($B37=0,"-",SUMIF('Invulblad WB'!$AD:$AD,$AG37,'Invulblad WB'!$AF:$AF)/SUMIF('Invulblad WB'!$AD:$AD,$AG37,'Invulblad WB'!$Z:$Z))</f>
        <v>-</v>
      </c>
      <c r="AE37" s="268"/>
      <c r="AF37" s="268"/>
      <c r="AG37" s="3" t="str">
        <f>$A$21&amp;A37</f>
        <v>MeergezinsDure koop (vanaf € 405.000)</v>
      </c>
    </row>
    <row r="38" spans="1:33" s="55" customFormat="1" ht="16" thickTop="1" x14ac:dyDescent="0.2">
      <c r="A38" s="15"/>
      <c r="B38" s="244"/>
      <c r="C38" s="91"/>
      <c r="M38"/>
      <c r="N38" s="15"/>
      <c r="AF38" s="269"/>
      <c r="AG38" s="269"/>
    </row>
    <row r="39" spans="1:33" x14ac:dyDescent="0.2">
      <c r="B39" s="4" t="s">
        <v>257</v>
      </c>
    </row>
    <row r="40" spans="1:33" s="56" customFormat="1" x14ac:dyDescent="0.2">
      <c r="A40" s="19" t="s">
        <v>241</v>
      </c>
      <c r="B40" s="228"/>
      <c r="C40" s="6" t="s">
        <v>217</v>
      </c>
      <c r="D40" s="6" t="s">
        <v>112</v>
      </c>
      <c r="E40" s="6" t="s">
        <v>227</v>
      </c>
      <c r="F40" s="6" t="s">
        <v>37</v>
      </c>
      <c r="G40" s="6"/>
      <c r="H40" s="6" t="s">
        <v>41</v>
      </c>
      <c r="I40" s="6"/>
      <c r="J40" s="6"/>
      <c r="K40" s="6" t="s">
        <v>216</v>
      </c>
      <c r="L40" s="6" t="s">
        <v>216</v>
      </c>
      <c r="M40"/>
      <c r="N40" s="6"/>
      <c r="O40" s="6" t="s">
        <v>44</v>
      </c>
      <c r="P40" s="6" t="s">
        <v>248</v>
      </c>
      <c r="Q40" s="6" t="s">
        <v>248</v>
      </c>
      <c r="R40" s="6" t="s">
        <v>248</v>
      </c>
      <c r="S40" s="6" t="s">
        <v>249</v>
      </c>
      <c r="T40" s="6" t="s">
        <v>249</v>
      </c>
      <c r="U40" s="6" t="s">
        <v>249</v>
      </c>
      <c r="V40" s="6" t="s">
        <v>48</v>
      </c>
      <c r="W40" s="6" t="s">
        <v>48</v>
      </c>
      <c r="X40" s="6" t="s">
        <v>48</v>
      </c>
      <c r="Y40" s="6" t="s">
        <v>49</v>
      </c>
      <c r="Z40" s="6" t="s">
        <v>49</v>
      </c>
      <c r="AA40" s="6" t="s">
        <v>49</v>
      </c>
      <c r="AB40" s="6" t="s">
        <v>41</v>
      </c>
      <c r="AC40" s="6" t="s">
        <v>41</v>
      </c>
      <c r="AD40" s="6" t="s">
        <v>41</v>
      </c>
      <c r="AE40" s="268"/>
      <c r="AF40" s="268"/>
      <c r="AG40" s="4"/>
    </row>
    <row r="41" spans="1:33" s="56" customFormat="1" x14ac:dyDescent="0.2">
      <c r="A41" s="19"/>
      <c r="B41" s="228"/>
      <c r="C41" s="6"/>
      <c r="D41" s="6"/>
      <c r="E41" s="6" t="s">
        <v>229</v>
      </c>
      <c r="F41" s="6" t="s">
        <v>217</v>
      </c>
      <c r="G41" s="6"/>
      <c r="H41" s="6" t="s">
        <v>219</v>
      </c>
      <c r="I41" s="6"/>
      <c r="J41" s="6"/>
      <c r="K41" s="6" t="s">
        <v>258</v>
      </c>
      <c r="L41" s="6" t="s">
        <v>219</v>
      </c>
      <c r="M41"/>
      <c r="N41" s="6"/>
      <c r="O41" s="6" t="s">
        <v>219</v>
      </c>
      <c r="P41" s="6" t="s">
        <v>219</v>
      </c>
      <c r="Q41" s="6" t="s">
        <v>252</v>
      </c>
      <c r="R41" s="6" t="s">
        <v>253</v>
      </c>
      <c r="S41" s="6" t="s">
        <v>219</v>
      </c>
      <c r="T41" s="6" t="s">
        <v>252</v>
      </c>
      <c r="U41" s="6" t="s">
        <v>253</v>
      </c>
      <c r="V41" s="6" t="s">
        <v>219</v>
      </c>
      <c r="W41" s="6" t="s">
        <v>252</v>
      </c>
      <c r="X41" s="6" t="s">
        <v>253</v>
      </c>
      <c r="Y41" s="6" t="s">
        <v>219</v>
      </c>
      <c r="Z41" s="6" t="s">
        <v>252</v>
      </c>
      <c r="AA41" s="6" t="s">
        <v>253</v>
      </c>
      <c r="AB41" s="6" t="s">
        <v>219</v>
      </c>
      <c r="AC41" s="6" t="s">
        <v>252</v>
      </c>
      <c r="AD41" s="6" t="s">
        <v>253</v>
      </c>
      <c r="AE41" s="268"/>
      <c r="AF41" s="268"/>
      <c r="AG41" s="4"/>
    </row>
    <row r="42" spans="1:33" s="56" customFormat="1" x14ac:dyDescent="0.2">
      <c r="A42" s="20"/>
      <c r="B42" s="227"/>
      <c r="C42" s="8"/>
      <c r="D42" s="8"/>
      <c r="E42" s="8"/>
      <c r="F42" s="8"/>
      <c r="G42" s="8"/>
      <c r="H42" s="8"/>
      <c r="I42" s="8"/>
      <c r="J42" s="8"/>
      <c r="K42" s="8" t="s">
        <v>255</v>
      </c>
      <c r="L42" s="8" t="s">
        <v>255</v>
      </c>
      <c r="M4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268"/>
      <c r="AF42" s="268"/>
      <c r="AG42" s="4"/>
    </row>
    <row r="43" spans="1:33" x14ac:dyDescent="0.2">
      <c r="A43" s="32" t="str">
        <f>hulp!F5</f>
        <v>Kantoren</v>
      </c>
      <c r="B43" s="242"/>
      <c r="C43" s="241">
        <f>SUMIF('Invulblad NWB'!$AB$5:$AB$12,$A43,'Invulblad NWB'!$AW$5:$AW$12)</f>
        <v>0</v>
      </c>
      <c r="D43" s="241">
        <f>SUMIF('Invulblad NWB'!$AB$5:$AB$12,$A43,'Invulblad NWB'!$AV$5:$AV$12)</f>
        <v>0</v>
      </c>
      <c r="E43" s="205" t="str">
        <f>IF(D43=0,"-",C43/D43)</f>
        <v>-</v>
      </c>
      <c r="F43" s="238">
        <f>IF($C43=0,0,(SUMIF('Invulblad NWB'!$C$5:$C$12,$A43,'Invulblad NWB'!$AY$5:$AY$12)/C43))</f>
        <v>0</v>
      </c>
      <c r="G43" s="238"/>
      <c r="H43" s="238">
        <f>IF($D43=0,0,(SUMIF('Invulblad NWB'!$AB$5:$AB$12,$A43,'Invulblad NWB'!$BF$5:$BF$12)/D43))</f>
        <v>0</v>
      </c>
      <c r="I43" s="238"/>
      <c r="J43" s="238"/>
      <c r="K43" s="238">
        <f>IF($C43=0,0,(SUMIF('Invulblad NWB'!$AB$5:$AB$12,$A43,'Invulblad NWB'!$BG$5:$BG$12)/C43))</f>
        <v>0</v>
      </c>
      <c r="L43" s="238">
        <f>IF($C43=0,0,(SUMIF('Invulblad NWB'!$AB$5:$AB$12,$A43,'Invulblad NWB'!$BG$5:$BG$12)/D43))</f>
        <v>0</v>
      </c>
      <c r="N43" s="205"/>
      <c r="O43" s="238" t="str">
        <f>IF($D43=0,"-",(SUMIF('Invulblad NWB'!$AB$5:$AB$12,$A43,'Invulblad NWB'!$AZ$5:$AZ$12)/$D43))</f>
        <v>-</v>
      </c>
      <c r="P43" s="238" t="str">
        <f>IF($D43=0,"-",(SUMIF('Invulblad NWB'!$AB$5:$AB$12,$A43,'Invulblad NWB'!$BB$5:$BB$12)/$D43))</f>
        <v>-</v>
      </c>
      <c r="Q43" s="205" t="str">
        <f>IF($D43=0,"-",(SUMIF('Invulblad NWB'!$AB$5:$AB$12,$A43,'Invulblad NWB'!$BB$5:$BB$12)/(SUMIF('Invulblad NWB'!$AB$5:$AB$12,$A43,'Invulblad NWB'!$AZ$5:$AZ$12))))</f>
        <v>-</v>
      </c>
      <c r="R43" s="205" t="str">
        <f>IF($D43=0,"-",(SUMIF('Invulblad NWB'!$AB$5:$AB$12,$A43,'Invulblad NWB'!$BB$5:$BB$12)/(SUMIF('Invulblad NWB'!$AB$5:$AB$12,$A43,'Invulblad NWB'!$AY$5:$AY$12))))</f>
        <v>-</v>
      </c>
      <c r="S43" s="238" t="str">
        <f>IF($D43=0,"-",(SUMIF('Invulblad NWB'!$AB$5:$AB$12,$A43,'Invulblad NWB'!$BC$5:$BC$12)/$D43))</f>
        <v>-</v>
      </c>
      <c r="T43" s="205" t="str">
        <f>IF($D43=0,"-",(SUMIF('Invulblad NWB'!$AB$5:$AB$12,$A43,'Invulblad NWB'!$BC$5:$BC$12)/(SUMIF('Invulblad NWB'!$AB$5:$AB$12,$A43,'Invulblad NWB'!$AZ$5:$AZ$12))))</f>
        <v>-</v>
      </c>
      <c r="U43" s="205" t="str">
        <f>IF($D43=0,"-",(SUMIF('Invulblad NWB'!$AB$5:$AB$12,$A43,'Invulblad NWB'!$BC$5:$BC$12)/(SUMIF('Invulblad NWB'!$AB$5:$AB$12,$A43,'Invulblad NWB'!$AY$5:$AY$12))))</f>
        <v>-</v>
      </c>
      <c r="V43" s="238" t="str">
        <f>IF($D43=0,"-",(SUMIF('Invulblad NWB'!$AB$5:$AB$12,$A43,'Invulblad NWB'!$BD$5:$BD$12)/$D43))</f>
        <v>-</v>
      </c>
      <c r="W43" s="205" t="str">
        <f>IF($D43=0,"-",(SUMIF('Invulblad NWB'!$AB$5:$AB$12,$A43,'Invulblad NWB'!$BD$5:$BD$12)/(SUMIF('Invulblad NWB'!$AB$5:$AB$12,$A43,'Invulblad NWB'!$AZ$5:$AZ$12))))</f>
        <v>-</v>
      </c>
      <c r="X43" s="205" t="str">
        <f>IF($D43=0,"-",(SUMIF('Invulblad NWB'!$AB$5:$AB$12,$A43,'Invulblad NWB'!$BD$5:$BD$12)/(SUMIF('Invulblad NWB'!$AB$5:$AB$12,$A43,'Invulblad NWB'!$AY$5:$AY$12))))</f>
        <v>-</v>
      </c>
      <c r="Y43" s="238" t="str">
        <f>IF($D43=0,"-",(SUMIF('Invulblad NWB'!$AB$5:$AB$12,$A43,'Invulblad NWB'!$BE$5:$BE$12)/$D43))</f>
        <v>-</v>
      </c>
      <c r="Z43" s="205" t="str">
        <f>IF($D43=0,"-",(SUMIF('Invulblad NWB'!$AB$5:$AB$12,$A43,'Invulblad NWB'!$BE$5:$BE$12)/(SUMIF('Invulblad NWB'!$AB$5:$AB$12,$A43,'Invulblad NWB'!$AZ$5:$AZ$12))))</f>
        <v>-</v>
      </c>
      <c r="AA43" s="205" t="str">
        <f>IF($D43=0,"-",(SUMIF('Invulblad NWB'!$AB$5:$AB$12,$A43,'Invulblad NWB'!$BE$5:$BE$12)/(SUMIF('Invulblad NWB'!$AB$5:$AB$12,$A43,'Invulblad NWB'!$AY$5:$AY$12))))</f>
        <v>-</v>
      </c>
      <c r="AB43" s="238" t="str">
        <f>IF($D43=0,"-",(SUMIF('Invulblad NWB'!$AB$5:$AB$12,$A43,'Invulblad NWB'!$BF$5:$BF$12)/$D43))</f>
        <v>-</v>
      </c>
      <c r="AC43" s="205" t="str">
        <f>IF($D43=0,"-",(SUMIF('Invulblad NWB'!$AB$5:$AB$12,$A43,'Invulblad NWB'!$BF$5:$BF$12)/(SUMIF('Invulblad NWB'!$AB$5:$AB$12,$A43,'Invulblad NWB'!$AZ$5:$AZ$12))))</f>
        <v>-</v>
      </c>
      <c r="AD43" s="205" t="str">
        <f>IF($D43=0,"-",(SUMIF('Invulblad NWB'!$AB$5:$AB$12,$A43,'Invulblad NWB'!$BF$5:$BF$12)/(SUMIF('Invulblad NWB'!$AB$5:$AB$12,$A43,'Invulblad NWB'!$AY$5:$AY$12))))</f>
        <v>-</v>
      </c>
      <c r="AE43"/>
      <c r="AG43" s="3"/>
    </row>
    <row r="44" spans="1:33" x14ac:dyDescent="0.2">
      <c r="A44" s="32" t="str">
        <f>hulp!F6</f>
        <v>Commerciële voorzieningen</v>
      </c>
      <c r="B44" s="242"/>
      <c r="C44" s="241">
        <f>SUMIF('Invulblad NWB'!$AB$5:$AB$12,$A44,'Invulblad NWB'!$AW$5:$AW$12)</f>
        <v>0</v>
      </c>
      <c r="D44" s="241">
        <f>SUMIF('Invulblad NWB'!$AB$5:$AB$12,$A44,'Invulblad NWB'!$AV$5:$AV$12)</f>
        <v>0</v>
      </c>
      <c r="E44" s="205" t="str">
        <f>IF(D44=0,"-",C44/D44)</f>
        <v>-</v>
      </c>
      <c r="F44" s="238">
        <f>IF($C44=0,0,(SUMIF('Invulblad NWB'!$C$5:$C$12,$A44,'Invulblad NWB'!$AY$5:$AY$12)/C44))</f>
        <v>0</v>
      </c>
      <c r="G44" s="238"/>
      <c r="H44" s="238">
        <f>IF($D44=0,0,(SUMIF('Invulblad NWB'!$AB$5:$AB$12,$A44,'Invulblad NWB'!$BF$5:$BF$12)/D44))</f>
        <v>0</v>
      </c>
      <c r="I44" s="238"/>
      <c r="J44" s="238"/>
      <c r="K44" s="238">
        <f>IF($C44=0,0,(SUMIF('Invulblad NWB'!$AB$5:$AB$12,$A44,'Invulblad NWB'!$BG$5:$BG$12)/C44))</f>
        <v>0</v>
      </c>
      <c r="L44" s="238">
        <f>IF($C44=0,0,(SUMIF('Invulblad NWB'!$AB$5:$AB$12,$A44,'Invulblad NWB'!$BG$5:$BG$12)/D44))</f>
        <v>0</v>
      </c>
      <c r="N44" s="205"/>
      <c r="O44" s="238" t="str">
        <f>IF($D44=0,"-",(SUMIF('Invulblad NWB'!$AB$5:$AB$12,$A44,'Invulblad NWB'!$AZ$5:$AZ$12)/$D44))</f>
        <v>-</v>
      </c>
      <c r="P44" s="238" t="str">
        <f>IF($D44=0,"-",(SUMIF('Invulblad NWB'!$AB$5:$AB$12,$A44,'Invulblad NWB'!$BB$5:$BB$12)/$D44))</f>
        <v>-</v>
      </c>
      <c r="Q44" s="205" t="str">
        <f>IF($D44=0,"-",(SUMIF('Invulblad NWB'!$AB$5:$AB$12,$A44,'Invulblad NWB'!$BB$5:$BB$12)/(SUMIF('Invulblad NWB'!$AB$5:$AB$12,$A44,'Invulblad NWB'!$AZ$5:$AZ$12))))</f>
        <v>-</v>
      </c>
      <c r="R44" s="205" t="str">
        <f>IF($D44=0,"-",(SUMIF('Invulblad NWB'!$AB$5:$AB$12,$A44,'Invulblad NWB'!$BB$5:$BB$12)/(SUMIF('Invulblad NWB'!$AB$5:$AB$12,$A44,'Invulblad NWB'!$AY$5:$AY$12))))</f>
        <v>-</v>
      </c>
      <c r="S44" s="238" t="str">
        <f>IF($D44=0,"-",(SUMIF('Invulblad NWB'!$AB$5:$AB$12,$A44,'Invulblad NWB'!$BC$5:$BC$12)/$D44))</f>
        <v>-</v>
      </c>
      <c r="T44" s="205" t="str">
        <f>IF($D44=0,"-",(SUMIF('Invulblad NWB'!$AB$5:$AB$12,$A44,'Invulblad NWB'!$BC$5:$BC$12)/(SUMIF('Invulblad NWB'!$AB$5:$AB$12,$A44,'Invulblad NWB'!$AZ$5:$AZ$12))))</f>
        <v>-</v>
      </c>
      <c r="U44" s="205" t="str">
        <f>IF($D44=0,"-",(SUMIF('Invulblad NWB'!$AB$5:$AB$12,$A44,'Invulblad NWB'!$BC$5:$BC$12)/(SUMIF('Invulblad NWB'!$AB$5:$AB$12,$A44,'Invulblad NWB'!$AY$5:$AY$12))))</f>
        <v>-</v>
      </c>
      <c r="V44" s="238" t="str">
        <f>IF($D44=0,"-",(SUMIF('Invulblad NWB'!$AB$5:$AB$12,$A44,'Invulblad NWB'!$BD$5:$BD$12)/$D44))</f>
        <v>-</v>
      </c>
      <c r="W44" s="205" t="str">
        <f>IF($D44=0,"-",(SUMIF('Invulblad NWB'!$AB$5:$AB$12,$A44,'Invulblad NWB'!$BD$5:$BD$12)/(SUMIF('Invulblad NWB'!$AB$5:$AB$12,$A44,'Invulblad NWB'!$AZ$5:$AZ$12))))</f>
        <v>-</v>
      </c>
      <c r="X44" s="205" t="str">
        <f>IF($D44=0,"-",(SUMIF('Invulblad NWB'!$AB$5:$AB$12,$A44,'Invulblad NWB'!$BD$5:$BD$12)/(SUMIF('Invulblad NWB'!$AB$5:$AB$12,$A44,'Invulblad NWB'!$AY$5:$AY$12))))</f>
        <v>-</v>
      </c>
      <c r="Y44" s="238" t="str">
        <f>IF($D44=0,"-",(SUMIF('Invulblad NWB'!$AB$5:$AB$12,$A44,'Invulblad NWB'!$BE$5:$BE$12)/$D44))</f>
        <v>-</v>
      </c>
      <c r="Z44" s="205" t="str">
        <f>IF($D44=0,"-",(SUMIF('Invulblad NWB'!$AB$5:$AB$12,$A44,'Invulblad NWB'!$BE$5:$BE$12)/(SUMIF('Invulblad NWB'!$AB$5:$AB$12,$A44,'Invulblad NWB'!$AZ$5:$AZ$12))))</f>
        <v>-</v>
      </c>
      <c r="AA44" s="205" t="str">
        <f>IF($D44=0,"-",(SUMIF('Invulblad NWB'!$AB$5:$AB$12,$A44,'Invulblad NWB'!$BE$5:$BE$12)/(SUMIF('Invulblad NWB'!$AB$5:$AB$12,$A44,'Invulblad NWB'!$AY$5:$AY$12))))</f>
        <v>-</v>
      </c>
      <c r="AB44" s="238" t="str">
        <f>IF($D44=0,"-",(SUMIF('Invulblad NWB'!$AB$5:$AB$12,$A44,'Invulblad NWB'!$BF$5:$BF$12)/$D44))</f>
        <v>-</v>
      </c>
      <c r="AC44" s="205" t="str">
        <f>IF($D44=0,"-",(SUMIF('Invulblad NWB'!$AB$5:$AB$12,$A44,'Invulblad NWB'!$BF$5:$BF$12)/(SUMIF('Invulblad NWB'!$AB$5:$AB$12,$A44,'Invulblad NWB'!$AZ$5:$AZ$12))))</f>
        <v>-</v>
      </c>
      <c r="AD44" s="205" t="str">
        <f>IF($D44=0,"-",(SUMIF('Invulblad NWB'!$AB$5:$AB$12,$A44,'Invulblad NWB'!$BF$5:$BF$12)/(SUMIF('Invulblad NWB'!$AB$5:$AB$12,$A44,'Invulblad NWB'!$AY$5:$AY$12))))</f>
        <v>-</v>
      </c>
      <c r="AE44"/>
      <c r="AG44" s="3"/>
    </row>
    <row r="45" spans="1:33" x14ac:dyDescent="0.2">
      <c r="A45" s="33" t="str">
        <f>hulp!F7</f>
        <v>Niet-commerciële voorzieningen</v>
      </c>
      <c r="B45" s="225"/>
      <c r="C45" s="239">
        <f>SUMIF('Invulblad NWB'!$AB$5:$AB$12,$A45,'Invulblad NWB'!$AW$5:$AW$12)</f>
        <v>0</v>
      </c>
      <c r="D45" s="239">
        <f>SUMIF('Invulblad NWB'!$AB$5:$AB$12,$A45,'Invulblad NWB'!$AV$5:$AV$12)</f>
        <v>0</v>
      </c>
      <c r="E45" s="206" t="str">
        <f>IF(D45=0,"-",C45/D45)</f>
        <v>-</v>
      </c>
      <c r="F45" s="238">
        <f>IF($C45=0,0,(SUMIF('Invulblad NWB'!$C$5:$C$12,$A45,'Invulblad NWB'!$AY$5:$AY$12)/C45))</f>
        <v>0</v>
      </c>
      <c r="G45" s="243"/>
      <c r="H45" s="238">
        <f>IF($D45=0,0,(SUMIF('Invulblad NWB'!$AB$5:$AB$12,$A45,'Invulblad NWB'!$BF$5:$BF$12)/D45))</f>
        <v>0</v>
      </c>
      <c r="I45" s="243"/>
      <c r="J45" s="243"/>
      <c r="K45" s="243">
        <f>IF($C45=0,0,(SUMIF('Invulblad NWB'!$AB$5:$AB$12,$A45,'Invulblad NWB'!$BG$5:$BG$12)/C45))</f>
        <v>0</v>
      </c>
      <c r="L45" s="243">
        <f>IF($C45=0,0,(SUMIF('Invulblad NWB'!$AB$5:$AB$12,$A45,'Invulblad NWB'!$BG$5:$BG$12)/D45))</f>
        <v>0</v>
      </c>
      <c r="N45" s="205"/>
      <c r="O45" s="238" t="str">
        <f>IF($D45=0,"-",(SUMIF('Invulblad NWB'!$AB$5:$AB$12,$A45,'Invulblad NWB'!$AZ$5:$AZ$12)/$D45))</f>
        <v>-</v>
      </c>
      <c r="P45" s="238" t="str">
        <f>IF($D45=0,"-",(SUMIF('Invulblad NWB'!$AB$5:$AB$12,$A45,'Invulblad NWB'!$BB$5:$BB$12)/$D45))</f>
        <v>-</v>
      </c>
      <c r="Q45" s="205" t="str">
        <f>IF($D45=0,"-",(SUMIF('Invulblad NWB'!$AB$5:$AB$12,$A45,'Invulblad NWB'!$BB$5:$BB$12)/(SUMIF('Invulblad NWB'!$AB$5:$AB$12,$A45,'Invulblad NWB'!$AZ$5:$AZ$12))))</f>
        <v>-</v>
      </c>
      <c r="R45" s="205" t="str">
        <f>IF($D45=0,"-",(SUMIF('Invulblad NWB'!$AB$5:$AB$12,$A45,'Invulblad NWB'!$BB$5:$BB$12)/(SUMIF('Invulblad NWB'!$AB$5:$AB$12,$A45,'Invulblad NWB'!$AY$5:$AY$12))))</f>
        <v>-</v>
      </c>
      <c r="S45" s="238" t="str">
        <f>IF($D45=0,"-",(SUMIF('Invulblad NWB'!$AB$5:$AB$12,$A45,'Invulblad NWB'!$BC$5:$BC$12)/$D45))</f>
        <v>-</v>
      </c>
      <c r="T45" s="205" t="str">
        <f>IF($D45=0,"-",(SUMIF('Invulblad NWB'!$AB$5:$AB$12,$A45,'Invulblad NWB'!$BC$5:$BC$12)/(SUMIF('Invulblad NWB'!$AB$5:$AB$12,$A45,'Invulblad NWB'!$AZ$5:$AZ$12))))</f>
        <v>-</v>
      </c>
      <c r="U45" s="205" t="str">
        <f>IF($D45=0,"-",(SUMIF('Invulblad NWB'!$AB$5:$AB$12,$A45,'Invulblad NWB'!$BC$5:$BC$12)/(SUMIF('Invulblad NWB'!$AB$5:$AB$12,$A45,'Invulblad NWB'!$AY$5:$AY$12))))</f>
        <v>-</v>
      </c>
      <c r="V45" s="238" t="str">
        <f>IF($D45=0,"-",(SUMIF('Invulblad NWB'!$AB$5:$AB$12,$A45,'Invulblad NWB'!$BD$5:$BD$12)/$D45))</f>
        <v>-</v>
      </c>
      <c r="W45" s="205" t="str">
        <f>IF($D45=0,"-",(SUMIF('Invulblad NWB'!$AB$5:$AB$12,$A45,'Invulblad NWB'!$BD$5:$BD$12)/(SUMIF('Invulblad NWB'!$AB$5:$AB$12,$A45,'Invulblad NWB'!$AZ$5:$AZ$12))))</f>
        <v>-</v>
      </c>
      <c r="X45" s="205" t="str">
        <f>IF($D45=0,"-",(SUMIF('Invulblad NWB'!$AB$5:$AB$12,$A45,'Invulblad NWB'!$BD$5:$BD$12)/(SUMIF('Invulblad NWB'!$AB$5:$AB$12,$A45,'Invulblad NWB'!$AY$5:$AY$12))))</f>
        <v>-</v>
      </c>
      <c r="Y45" s="238" t="str">
        <f>IF($D45=0,"-",(SUMIF('Invulblad NWB'!$AB$5:$AB$12,$A45,'Invulblad NWB'!$BE$5:$BE$12)/$D45))</f>
        <v>-</v>
      </c>
      <c r="Z45" s="205" t="str">
        <f>IF($D45=0,"-",(SUMIF('Invulblad NWB'!$AB$5:$AB$12,$A45,'Invulblad NWB'!$BE$5:$BE$12)/(SUMIF('Invulblad NWB'!$AB$5:$AB$12,$A45,'Invulblad NWB'!$AZ$5:$AZ$12))))</f>
        <v>-</v>
      </c>
      <c r="AA45" s="205" t="str">
        <f>IF($D45=0,"-",(SUMIF('Invulblad NWB'!$AB$5:$AB$12,$A45,'Invulblad NWB'!$BE$5:$BE$12)/(SUMIF('Invulblad NWB'!$AB$5:$AB$12,$A45,'Invulblad NWB'!$AY$5:$AY$12))))</f>
        <v>-</v>
      </c>
      <c r="AB45" s="238" t="str">
        <f>IF($D45=0,"-",(SUMIF('Invulblad NWB'!$AB$5:$AB$12,$A45,'Invulblad NWB'!$BF$5:$BF$12)/$D45))</f>
        <v>-</v>
      </c>
      <c r="AC45" s="205" t="str">
        <f>IF($D45=0,"-",(SUMIF('Invulblad NWB'!$AB$5:$AB$12,$A45,'Invulblad NWB'!$BF$5:$BF$12)/(SUMIF('Invulblad NWB'!$AB$5:$AB$12,$A45,'Invulblad NWB'!$AZ$5:$AZ$12))))</f>
        <v>-</v>
      </c>
      <c r="AD45" s="205" t="str">
        <f>IF($D45=0,"-",(SUMIF('Invulblad NWB'!$AB$5:$AB$12,$A45,'Invulblad NWB'!$BF$5:$BF$12)/(SUMIF('Invulblad NWB'!$AB$5:$AB$12,$A45,'Invulblad NWB'!$AY$5:$AY$12))))</f>
        <v>-</v>
      </c>
      <c r="AE45"/>
      <c r="AG45" s="3"/>
    </row>
    <row r="46" spans="1:33" x14ac:dyDescent="0.2">
      <c r="A46" s="33" t="str">
        <f>hulp!F8</f>
        <v>Bedrijven</v>
      </c>
      <c r="B46" s="225"/>
      <c r="C46" s="239">
        <f>SUMIF('Invulblad NWB'!$AB$5:$AB$12,$A46,'Invulblad NWB'!$AW$5:$AW$12)</f>
        <v>0</v>
      </c>
      <c r="D46" s="239">
        <f>SUMIF('Invulblad NWB'!$AB$5:$AB$12,$A46,'Invulblad NWB'!$AV$5:$AV$12)</f>
        <v>0</v>
      </c>
      <c r="E46" s="206" t="str">
        <f>IF(D46=0,"-",C46/D46)</f>
        <v>-</v>
      </c>
      <c r="F46" s="238">
        <f>IF($C46=0,0,(SUMIF('Invulblad NWB'!$C$5:$C$12,$A46,'Invulblad NWB'!$AY$5:$AY$12)/C46))</f>
        <v>0</v>
      </c>
      <c r="G46" s="243"/>
      <c r="H46" s="238">
        <f>IF($D46=0,0,(SUMIF('Invulblad NWB'!$AB$5:$AB$12,$A46,'Invulblad NWB'!$BF$5:$BF$12)/D46))</f>
        <v>0</v>
      </c>
      <c r="I46" s="243"/>
      <c r="J46" s="243"/>
      <c r="K46" s="243">
        <f>IF($C46=0,0,(SUMIF('Invulblad NWB'!$AB$5:$AB$12,$A46,'Invulblad NWB'!$BG$5:$BG$12)/C46))</f>
        <v>0</v>
      </c>
      <c r="L46" s="243">
        <f>IF($C46=0,0,(SUMIF('Invulblad NWB'!$AB$5:$AB$12,$A46,'Invulblad NWB'!$BG$5:$BG$12)/D46))</f>
        <v>0</v>
      </c>
      <c r="N46" s="205"/>
      <c r="O46" s="238" t="str">
        <f>IF($D46=0,"-",(SUMIF('Invulblad NWB'!$AB$5:$AB$12,$A46,'Invulblad NWB'!$AZ$5:$AZ$12)/$D46))</f>
        <v>-</v>
      </c>
      <c r="P46" s="238" t="str">
        <f>IF($D46=0,"-",(SUMIF('Invulblad NWB'!$AB$5:$AB$12,$A46,'Invulblad NWB'!$BB$5:$BB$12)/$D46))</f>
        <v>-</v>
      </c>
      <c r="Q46" s="205" t="str">
        <f>IF($D46=0,"-",(SUMIF('Invulblad NWB'!$AB$5:$AB$12,$A46,'Invulblad NWB'!$BB$5:$BB$12)/(SUMIF('Invulblad NWB'!$AB$5:$AB$12,$A46,'Invulblad NWB'!$AZ$5:$AZ$12))))</f>
        <v>-</v>
      </c>
      <c r="R46" s="205" t="str">
        <f>IF($D46=0,"-",(SUMIF('Invulblad NWB'!$AB$5:$AB$12,$A46,'Invulblad NWB'!$BB$5:$BB$12)/(SUMIF('Invulblad NWB'!$AB$5:$AB$12,$A46,'Invulblad NWB'!$AY$5:$AY$12))))</f>
        <v>-</v>
      </c>
      <c r="S46" s="238" t="str">
        <f>IF($D46=0,"-",(SUMIF('Invulblad NWB'!$AB$5:$AB$12,$A46,'Invulblad NWB'!$BC$5:$BC$12)/$D46))</f>
        <v>-</v>
      </c>
      <c r="T46" s="205" t="str">
        <f>IF($D46=0,"-",(SUMIF('Invulblad NWB'!$AB$5:$AB$12,$A46,'Invulblad NWB'!$BC$5:$BC$12)/(SUMIF('Invulblad NWB'!$AB$5:$AB$12,$A46,'Invulblad NWB'!$AZ$5:$AZ$12))))</f>
        <v>-</v>
      </c>
      <c r="U46" s="205" t="str">
        <f>IF($D46=0,"-",(SUMIF('Invulblad NWB'!$AB$5:$AB$12,$A46,'Invulblad NWB'!$BC$5:$BC$12)/(SUMIF('Invulblad NWB'!$AB$5:$AB$12,$A46,'Invulblad NWB'!$AY$5:$AY$12))))</f>
        <v>-</v>
      </c>
      <c r="V46" s="238" t="str">
        <f>IF($D46=0,"-",(SUMIF('Invulblad NWB'!$AB$5:$AB$12,$A46,'Invulblad NWB'!$BD$5:$BD$12)/$D46))</f>
        <v>-</v>
      </c>
      <c r="W46" s="205" t="str">
        <f>IF($D46=0,"-",(SUMIF('Invulblad NWB'!$AB$5:$AB$12,$A46,'Invulblad NWB'!$BD$5:$BD$12)/(SUMIF('Invulblad NWB'!$AB$5:$AB$12,$A46,'Invulblad NWB'!$AZ$5:$AZ$12))))</f>
        <v>-</v>
      </c>
      <c r="X46" s="205" t="str">
        <f>IF($D46=0,"-",(SUMIF('Invulblad NWB'!$AB$5:$AB$12,$A46,'Invulblad NWB'!$BD$5:$BD$12)/(SUMIF('Invulblad NWB'!$AB$5:$AB$12,$A46,'Invulblad NWB'!$AY$5:$AY$12))))</f>
        <v>-</v>
      </c>
      <c r="Y46" s="238" t="str">
        <f>IF($D46=0,"-",(SUMIF('Invulblad NWB'!$AB$5:$AB$12,$A46,'Invulblad NWB'!$BE$5:$BE$12)/$D46))</f>
        <v>-</v>
      </c>
      <c r="Z46" s="205" t="str">
        <f>IF($D46=0,"-",(SUMIF('Invulblad NWB'!$AB$5:$AB$12,$A46,'Invulblad NWB'!$BE$5:$BE$12)/(SUMIF('Invulblad NWB'!$AB$5:$AB$12,$A46,'Invulblad NWB'!$AZ$5:$AZ$12))))</f>
        <v>-</v>
      </c>
      <c r="AA46" s="205" t="str">
        <f>IF($D46=0,"-",(SUMIF('Invulblad NWB'!$AB$5:$AB$12,$A46,'Invulblad NWB'!$BE$5:$BE$12)/(SUMIF('Invulblad NWB'!$AB$5:$AB$12,$A46,'Invulblad NWB'!$AY$5:$AY$12))))</f>
        <v>-</v>
      </c>
      <c r="AB46" s="238" t="str">
        <f>IF($D46=0,"-",(SUMIF('Invulblad NWB'!$AB$5:$AB$12,$A46,'Invulblad NWB'!$BF$5:$BF$12)/$D46))</f>
        <v>-</v>
      </c>
      <c r="AC46" s="205" t="str">
        <f>IF($D46=0,"-",(SUMIF('Invulblad NWB'!$AB$5:$AB$12,$A46,'Invulblad NWB'!$BF$5:$BF$12)/(SUMIF('Invulblad NWB'!$AB$5:$AB$12,$A46,'Invulblad NWB'!$AZ$5:$AZ$12))))</f>
        <v>-</v>
      </c>
      <c r="AD46" s="205" t="str">
        <f>IF($D46=0,"-",(SUMIF('Invulblad NWB'!$AB$5:$AB$12,$A46,'Invulblad NWB'!$BF$5:$BF$12)/(SUMIF('Invulblad NWB'!$AB$5:$AB$12,$A46,'Invulblad NWB'!$AY$5:$AY$12))))</f>
        <v>-</v>
      </c>
      <c r="AE46"/>
      <c r="AG46" s="3"/>
    </row>
    <row r="47" spans="1:33" ht="16" thickBot="1" x14ac:dyDescent="0.25">
      <c r="A47" s="36" t="str">
        <f>hulp!F9</f>
        <v>Overig</v>
      </c>
      <c r="B47" s="94"/>
      <c r="C47" s="237">
        <f>SUMIF('Invulblad NWB'!$AB$5:$AB$12,$A47,'Invulblad NWB'!$AW$5:$AW$12)</f>
        <v>0</v>
      </c>
      <c r="D47" s="237">
        <f>SUMIF('Invulblad NWB'!$AB$5:$AB$12,$A47,'Invulblad NWB'!$AV$5:$AV$12)</f>
        <v>0</v>
      </c>
      <c r="E47" s="207" t="str">
        <f>IF(D47=0,"-",C47/D47)</f>
        <v>-</v>
      </c>
      <c r="F47" s="236">
        <f>IF($C47=0,0,(SUMIF('Invulblad NWB'!$C$5:$C$12,$A47,'Invulblad NWB'!$AY$5:$AY$12)/C47))</f>
        <v>0</v>
      </c>
      <c r="G47" s="236"/>
      <c r="H47" s="236">
        <f>IF($D47=0,0,(SUMIF('Invulblad NWB'!$AB$5:$AB$12,$A47,'Invulblad NWB'!$BF$5:$BF$12)/D47))</f>
        <v>0</v>
      </c>
      <c r="I47" s="236"/>
      <c r="J47" s="236"/>
      <c r="K47" s="236">
        <f>IF($C47=0,0,(SUMIF('Invulblad NWB'!$AB$5:$AB$12,$A47,'Invulblad NWB'!$BG$5:$BG$12)/C47))</f>
        <v>0</v>
      </c>
      <c r="L47" s="236">
        <f>IF($C47=0,0,(SUMIF('Invulblad NWB'!$AB$5:$AB$12,$A47,'Invulblad NWB'!$BG$5:$BG$12)/D47))</f>
        <v>0</v>
      </c>
      <c r="N47" s="207"/>
      <c r="O47" s="264" t="str">
        <f>IF($D47=0,"-",(SUMIF('Invulblad NWB'!$AB$5:$AB$12,$A47,'Invulblad NWB'!$AZ$5:$AZ$12)/$D47))</f>
        <v>-</v>
      </c>
      <c r="P47" s="264" t="str">
        <f>IF($D47=0,"-",(SUMIF('Invulblad NWB'!$AB$5:$AB$12,$A47,'Invulblad NWB'!$BB$5:$BB$12)/$D47))</f>
        <v>-</v>
      </c>
      <c r="Q47" s="265" t="str">
        <f>IF($D47=0,"-",(SUMIF('Invulblad NWB'!$AB$5:$AB$12,$A47,'Invulblad NWB'!$BB$5:$BB$12)/(SUMIF('Invulblad NWB'!$AB$5:$AB$12,$A47,'Invulblad NWB'!$AZ$5:$AZ$12))))</f>
        <v>-</v>
      </c>
      <c r="R47" s="265" t="str">
        <f>IF($D47=0,"-",(SUMIF('Invulblad NWB'!$AB$5:$AB$12,$A47,'Invulblad NWB'!$BB$5:$BB$12)/(SUMIF('Invulblad NWB'!$AB$5:$AB$12,$A47,'Invulblad NWB'!$AY$5:$AY$12))))</f>
        <v>-</v>
      </c>
      <c r="S47" s="264" t="str">
        <f>IF($D47=0,"-",(SUMIF('Invulblad NWB'!$AB$5:$AB$12,$A47,'Invulblad NWB'!$BC$5:$BC$12)/$D47))</f>
        <v>-</v>
      </c>
      <c r="T47" s="265" t="str">
        <f>IF($D47=0,"-",(SUMIF('Invulblad NWB'!$AB$5:$AB$12,$A47,'Invulblad NWB'!$BC$5:$BC$12)/(SUMIF('Invulblad NWB'!$AB$5:$AB$12,$A47,'Invulblad NWB'!$AZ$5:$AZ$12))))</f>
        <v>-</v>
      </c>
      <c r="U47" s="265" t="str">
        <f>IF($D47=0,"-",(SUMIF('Invulblad NWB'!$AB$5:$AB$12,$A47,'Invulblad NWB'!$BC$5:$BC$12)/(SUMIF('Invulblad NWB'!$AB$5:$AB$12,$A47,'Invulblad NWB'!$AY$5:$AY$12))))</f>
        <v>-</v>
      </c>
      <c r="V47" s="264" t="str">
        <f>IF($D47=0,"-",(SUMIF('Invulblad NWB'!$AB$5:$AB$12,$A47,'Invulblad NWB'!$BD$5:$BD$12)/$D47))</f>
        <v>-</v>
      </c>
      <c r="W47" s="265" t="str">
        <f>IF($D47=0,"-",(SUMIF('Invulblad NWB'!$AB$5:$AB$12,$A47,'Invulblad NWB'!$BD$5:$BD$12)/(SUMIF('Invulblad NWB'!$AB$5:$AB$12,$A47,'Invulblad NWB'!$AZ$5:$AZ$12))))</f>
        <v>-</v>
      </c>
      <c r="X47" s="265" t="str">
        <f>IF($D47=0,"-",(SUMIF('Invulblad NWB'!$AB$5:$AB$12,$A47,'Invulblad NWB'!$BD$5:$BD$12)/(SUMIF('Invulblad NWB'!$AB$5:$AB$12,$A47,'Invulblad NWB'!$AY$5:$AY$12))))</f>
        <v>-</v>
      </c>
      <c r="Y47" s="264" t="str">
        <f>IF($D47=0,"-",(SUMIF('Invulblad NWB'!$AB$5:$AB$12,$A47,'Invulblad NWB'!$BE$5:$BE$12)/$D47))</f>
        <v>-</v>
      </c>
      <c r="Z47" s="265" t="str">
        <f>IF($D47=0,"-",(SUMIF('Invulblad NWB'!$AB$5:$AB$12,$A47,'Invulblad NWB'!$BE$5:$BE$12)/(SUMIF('Invulblad NWB'!$AB$5:$AB$12,$A47,'Invulblad NWB'!$AZ$5:$AZ$12))))</f>
        <v>-</v>
      </c>
      <c r="AA47" s="265" t="str">
        <f>IF($D47=0,"-",(SUMIF('Invulblad NWB'!$AB$5:$AB$12,$A47,'Invulblad NWB'!$BE$5:$BE$12)/(SUMIF('Invulblad NWB'!$AB$5:$AB$12,$A47,'Invulblad NWB'!$AY$5:$AY$12))))</f>
        <v>-</v>
      </c>
      <c r="AB47" s="264" t="str">
        <f>IF($D47=0,"-",(SUMIF('Invulblad NWB'!$AB$5:$AB$12,$A47,'Invulblad NWB'!$BF$5:$BF$12)/$D47))</f>
        <v>-</v>
      </c>
      <c r="AC47" s="265" t="str">
        <f>IF($D47=0,"-",(SUMIF('Invulblad NWB'!$AB$5:$AB$12,$A47,'Invulblad NWB'!$BF$5:$BF$12)/(SUMIF('Invulblad NWB'!$AB$5:$AB$12,$A47,'Invulblad NWB'!$AZ$5:$AZ$12))))</f>
        <v>-</v>
      </c>
      <c r="AD47" s="265" t="str">
        <f>IF($D47=0,"-",(SUMIF('Invulblad NWB'!$AB$5:$AB$12,$A47,'Invulblad NWB'!$BF$5:$BF$12)/(SUMIF('Invulblad NWB'!$AB$5:$AB$12,$A47,'Invulblad NWB'!$AY$5:$AY$12))))</f>
        <v>-</v>
      </c>
      <c r="AE47"/>
      <c r="AG47" s="3"/>
    </row>
    <row r="48" spans="1:33" ht="16" thickTop="1" x14ac:dyDescent="0.2">
      <c r="B48" s="2"/>
      <c r="C48" s="232"/>
      <c r="D48" s="232"/>
      <c r="E48" s="204"/>
      <c r="F48" s="231"/>
      <c r="G48" s="231"/>
      <c r="H48" s="231"/>
      <c r="I48" s="231"/>
      <c r="J48" s="231"/>
      <c r="K48" s="231"/>
      <c r="L48" s="231"/>
      <c r="N48" s="204"/>
      <c r="O48" s="231"/>
      <c r="P48" s="231"/>
      <c r="Q48" s="204"/>
      <c r="R48" s="204"/>
      <c r="S48" s="231"/>
      <c r="T48" s="204"/>
      <c r="U48" s="204"/>
      <c r="V48" s="231"/>
      <c r="W48" s="204"/>
      <c r="X48" s="204"/>
      <c r="Y48" s="231"/>
      <c r="Z48" s="204"/>
      <c r="AA48" s="204"/>
      <c r="AB48" s="231"/>
      <c r="AC48" s="204"/>
      <c r="AD48" s="204"/>
      <c r="AE48"/>
      <c r="AG48" s="3"/>
    </row>
    <row r="49" spans="1:33" x14ac:dyDescent="0.2">
      <c r="B49" s="4" t="s">
        <v>259</v>
      </c>
      <c r="N49" s="2"/>
      <c r="AE49"/>
      <c r="AG49" s="3"/>
    </row>
    <row r="50" spans="1:33" s="56" customFormat="1" x14ac:dyDescent="0.2">
      <c r="A50" s="19" t="s">
        <v>241</v>
      </c>
      <c r="B50" s="228"/>
      <c r="C50" s="6" t="s">
        <v>217</v>
      </c>
      <c r="D50" s="6" t="s">
        <v>112</v>
      </c>
      <c r="E50" s="6" t="s">
        <v>227</v>
      </c>
      <c r="F50" s="6" t="s">
        <v>37</v>
      </c>
      <c r="G50" s="6"/>
      <c r="H50" s="6" t="s">
        <v>41</v>
      </c>
      <c r="I50" s="6"/>
      <c r="J50" s="6"/>
      <c r="K50" s="6" t="s">
        <v>216</v>
      </c>
      <c r="L50" s="6" t="s">
        <v>216</v>
      </c>
      <c r="M50"/>
      <c r="N50" s="6" t="s">
        <v>247</v>
      </c>
      <c r="O50" s="6" t="s">
        <v>44</v>
      </c>
      <c r="P50" s="6" t="s">
        <v>248</v>
      </c>
      <c r="Q50" s="6" t="s">
        <v>248</v>
      </c>
      <c r="R50" s="6" t="s">
        <v>248</v>
      </c>
      <c r="S50" s="6" t="s">
        <v>249</v>
      </c>
      <c r="T50" s="6" t="s">
        <v>249</v>
      </c>
      <c r="U50" s="6" t="s">
        <v>249</v>
      </c>
      <c r="V50" s="6" t="s">
        <v>48</v>
      </c>
      <c r="W50" s="6" t="s">
        <v>48</v>
      </c>
      <c r="X50" s="6" t="s">
        <v>48</v>
      </c>
      <c r="Y50" s="6" t="s">
        <v>49</v>
      </c>
      <c r="Z50" s="6" t="s">
        <v>49</v>
      </c>
      <c r="AA50" s="6" t="s">
        <v>49</v>
      </c>
      <c r="AB50" s="6" t="s">
        <v>41</v>
      </c>
      <c r="AC50" s="6" t="s">
        <v>41</v>
      </c>
      <c r="AD50" s="6" t="s">
        <v>41</v>
      </c>
      <c r="AE50" s="268"/>
      <c r="AF50" s="268"/>
      <c r="AG50" s="4"/>
    </row>
    <row r="51" spans="1:33" s="56" customFormat="1" x14ac:dyDescent="0.2">
      <c r="A51" s="19"/>
      <c r="B51" s="228"/>
      <c r="C51" s="6"/>
      <c r="D51" s="6"/>
      <c r="E51" s="6" t="s">
        <v>229</v>
      </c>
      <c r="F51" s="6" t="s">
        <v>217</v>
      </c>
      <c r="G51" s="6"/>
      <c r="H51" s="6" t="s">
        <v>219</v>
      </c>
      <c r="I51" s="6"/>
      <c r="J51" s="6"/>
      <c r="K51" s="6" t="s">
        <v>258</v>
      </c>
      <c r="L51" s="6" t="s">
        <v>219</v>
      </c>
      <c r="M51"/>
      <c r="N51" s="6" t="s">
        <v>251</v>
      </c>
      <c r="O51" s="6" t="s">
        <v>219</v>
      </c>
      <c r="P51" s="6" t="s">
        <v>219</v>
      </c>
      <c r="Q51" s="6" t="s">
        <v>252</v>
      </c>
      <c r="R51" s="6" t="s">
        <v>253</v>
      </c>
      <c r="S51" s="6" t="s">
        <v>219</v>
      </c>
      <c r="T51" s="6" t="s">
        <v>252</v>
      </c>
      <c r="U51" s="6" t="s">
        <v>253</v>
      </c>
      <c r="V51" s="6" t="s">
        <v>219</v>
      </c>
      <c r="W51" s="6" t="s">
        <v>252</v>
      </c>
      <c r="X51" s="6" t="s">
        <v>253</v>
      </c>
      <c r="Y51" s="6" t="s">
        <v>219</v>
      </c>
      <c r="Z51" s="6" t="s">
        <v>252</v>
      </c>
      <c r="AA51" s="6" t="s">
        <v>253</v>
      </c>
      <c r="AB51" s="6" t="s">
        <v>219</v>
      </c>
      <c r="AC51" s="6" t="s">
        <v>252</v>
      </c>
      <c r="AD51" s="6" t="s">
        <v>253</v>
      </c>
      <c r="AE51" s="268"/>
      <c r="AF51" s="268"/>
      <c r="AG51" s="4"/>
    </row>
    <row r="52" spans="1:33" s="56" customFormat="1" x14ac:dyDescent="0.2">
      <c r="A52" s="20"/>
      <c r="B52" s="227"/>
      <c r="C52" s="8"/>
      <c r="D52" s="8"/>
      <c r="E52" s="8"/>
      <c r="F52" s="8"/>
      <c r="G52" s="8"/>
      <c r="H52" s="8"/>
      <c r="I52" s="8"/>
      <c r="J52" s="8"/>
      <c r="K52" s="8" t="s">
        <v>255</v>
      </c>
      <c r="L52" s="8" t="s">
        <v>255</v>
      </c>
      <c r="M52"/>
      <c r="N52" s="8" t="s">
        <v>256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268"/>
      <c r="AF52" s="268"/>
      <c r="AG52" s="4"/>
    </row>
    <row r="53" spans="1:33" x14ac:dyDescent="0.2">
      <c r="A53" s="32" t="str">
        <f>hulp!F5</f>
        <v>Kantoren</v>
      </c>
      <c r="B53" s="242"/>
      <c r="C53" s="241">
        <f>SUMIF('Invulblad NWB'!$AB$5:$AB$12,$A53,'Invulblad NWB'!$AG$5:$AG$12)</f>
        <v>0</v>
      </c>
      <c r="D53" s="241">
        <f>SUMIF('Invulblad NWB'!$AB$5:$AB$12,$A53,'Invulblad NWB'!$AF$5:$AF$12)</f>
        <v>0</v>
      </c>
      <c r="E53" s="205" t="str">
        <f>IF(D53=0,"-",C53/D53)</f>
        <v>-</v>
      </c>
      <c r="F53" s="238">
        <f>IF($C53=0,0,(SUMIF('Invulblad NWB'!$C$5:$C$12,$A53,'Invulblad NWB'!$AJ$5:$AJ$12)/C53))</f>
        <v>0</v>
      </c>
      <c r="G53" s="240"/>
      <c r="H53" s="240">
        <f>IF($D53=0,0,(SUMIF('Invulblad NWB'!$AB$5:$AB$6,$A53,'Invulblad NWB'!$AR$5:$AR$12)/D53))</f>
        <v>0</v>
      </c>
      <c r="I53" s="240"/>
      <c r="J53" s="240"/>
      <c r="K53" s="240">
        <f>IF($C53=0,0,(SUMIF('Invulblad NWB'!$AB$5:$AB$12,$A53,'Invulblad NWB'!$AS$5:$AS$12)/C53))</f>
        <v>0</v>
      </c>
      <c r="L53" s="240">
        <f>IF($C53=0,0,(SUMIF('Invulblad NWB'!$AB$5:$AB$12,$A53,'Invulblad NWB'!$AS$5:$AS$12)/D53))</f>
        <v>0</v>
      </c>
      <c r="N53" s="205" t="str">
        <f>IF(SUMIF('Invulblad NWB'!$AB$5:$AB$12,$A53,'Invulblad NWB'!$AJ$5:$AJ$12)=0,"-",SUMIF('Invulblad NWB'!$AB$5:$AB$12,$A53,'Invulblad NWB'!$AH$5:$AH$12)/SUMIF('Invulblad NWB'!$AB$5:$AB$12,$A53,'Invulblad NWB'!$AJ$5:$AJ$12))</f>
        <v>-</v>
      </c>
      <c r="O53" s="238" t="str">
        <f>IF($D53=0,"-",(SUMIF('Invulblad NWB'!$AB$5:$AB$11,$A53,'Invulblad NWB'!$AL$5:$AL$11)/$D53))</f>
        <v>-</v>
      </c>
      <c r="P53" s="238" t="str">
        <f>IF($D53=0,"-",(SUMIF('Invulblad NWB'!$AB$5:$AB$11,$A53,'Invulblad NWB'!$AN$5:$AN$11)/$D53))</f>
        <v>-</v>
      </c>
      <c r="Q53" s="205" t="str">
        <f>IF($D53=0,"-",(SUMIF('Invulblad NWB'!$AB$5:$AB$11,$A53,'Invulblad NWB'!$AN$5:$AN$11)/(SUMIF('Invulblad NWB'!$AB$5:$AB$11,$A53,'Invulblad NWB'!$AL$5:$AL$11))))</f>
        <v>-</v>
      </c>
      <c r="R53" s="205" t="str">
        <f>IF($D53=0,"-",(SUMIF('Invulblad NWB'!$AB$5:$AB$11,$A53,'Invulblad NWB'!$AN$5:$AN$11)/(SUMIF('Invulblad NWB'!$AB$5:$AB$11,$A53,'Invulblad NWB'!$AJ$5:$AJ$11))))</f>
        <v>-</v>
      </c>
      <c r="S53" s="238" t="str">
        <f>IF($D53=0,"-",(SUMIF('Invulblad NWB'!$AB$5:$AB$11,$A53,'Invulblad NWB'!$AO$5:$AO$11)/$D53))</f>
        <v>-</v>
      </c>
      <c r="T53" s="205" t="str">
        <f>IF($D53=0,"-",(SUMIF('Invulblad NWB'!$AB$5:$AB$11,$A53,'Invulblad NWB'!$AO$5:$AO$11)/(SUMIF('Invulblad NWB'!$AB$5:$AB$11,$A53,'Invulblad NWB'!$AL$5:$AL$11))))</f>
        <v>-</v>
      </c>
      <c r="U53" s="205" t="str">
        <f>IF($D53=0,"-",(SUMIF('Invulblad NWB'!$AB$5:$AB$11,$A53,'Invulblad NWB'!$AO$5:$AO$11)/(SUMIF('Invulblad NWB'!$AB$5:$AB$11,$A53,'Invulblad NWB'!$AJ$5:$AJ$11))))</f>
        <v>-</v>
      </c>
      <c r="V53" s="238" t="str">
        <f>IF($D53=0,"-",(SUMIF('Invulblad NWB'!$AB$5:$AB$11,$A53,'Invulblad NWB'!$AP$5:$AP$11)/$D53))</f>
        <v>-</v>
      </c>
      <c r="W53" s="205" t="str">
        <f>IF($D53=0,"-",(SUMIF('Invulblad NWB'!$AB$5:$AB$11,$A53,'Invulblad NWB'!$AP$5:$AP$11)/(SUMIF('Invulblad NWB'!$AB$5:$AB$11,$A53,'Invulblad NWB'!$AL$5:$AL$11))))</f>
        <v>-</v>
      </c>
      <c r="X53" s="205" t="str">
        <f>IF($D53=0,"-",(SUMIF('Invulblad NWB'!$AB$5:$AB$11,$A53,'Invulblad NWB'!$AP$5:$AP$11)/(SUMIF('Invulblad NWB'!$AB$5:$AB$11,$A53,'Invulblad NWB'!$AJ$5:$AJ$11))))</f>
        <v>-</v>
      </c>
      <c r="Y53" s="238" t="str">
        <f>IF($D53=0,"-",(SUMIF('Invulblad NWB'!$AB$5:$AB$11,$A53,'Invulblad NWB'!$AQ$5:$AQ$11)/$D53))</f>
        <v>-</v>
      </c>
      <c r="Z53" s="205" t="str">
        <f>IF($D53=0,"-",(SUMIF('Invulblad NWB'!$AB$5:$AB$11,$A53,'Invulblad NWB'!$AQ$5:$AQ$11)/(SUMIF('Invulblad NWB'!$AB$5:$AB$11,$A53,'Invulblad NWB'!$AL$5:$AL$11))))</f>
        <v>-</v>
      </c>
      <c r="AA53" s="205" t="str">
        <f>IF($D53=0,"-",(SUMIF('Invulblad NWB'!$AB$5:$AB$11,$A53,'Invulblad NWB'!$AQ$5:$AQ$11)/(SUMIF('Invulblad NWB'!$AB$5:$AB$11,$A53,'Invulblad NWB'!$AJ$5:$AJ$11))))</f>
        <v>-</v>
      </c>
      <c r="AB53" s="238" t="str">
        <f>IF($D53=0,"-",(SUMIF('Invulblad NWB'!$AB$5:$AB$11,$A53,'Invulblad NWB'!$AR$5:$AR$11)/$D53))</f>
        <v>-</v>
      </c>
      <c r="AC53" s="205" t="str">
        <f>IF($D53=0,"-",(SUMIF('Invulblad NWB'!$AB$5:$AB$11,$A53,'Invulblad NWB'!$AR$5:$AR$11)/(SUMIF('Invulblad NWB'!$AB$5:$AB$11,$A53,'Invulblad NWB'!$AL$5:$AL$11))))</f>
        <v>-</v>
      </c>
      <c r="AD53" s="205" t="str">
        <f>IF($D53=0,"-",(SUMIF('Invulblad NWB'!$AB$5:$AB$11,$A53,'Invulblad NWB'!$AR$5:$AR$11)/(SUMIF('Invulblad NWB'!$AB$5:$AB$11,$A53,'Invulblad NWB'!$AJ$5:$AJ$11))))</f>
        <v>-</v>
      </c>
      <c r="AE53"/>
      <c r="AG53" s="3"/>
    </row>
    <row r="54" spans="1:33" x14ac:dyDescent="0.2">
      <c r="A54" s="32" t="str">
        <f>hulp!F6</f>
        <v>Commerciële voorzieningen</v>
      </c>
      <c r="B54" s="242"/>
      <c r="C54" s="241">
        <f>SUMIF('Invulblad NWB'!$AB$5:$AB$12,$A54,'Invulblad NWB'!$AG$5:$AG$12)</f>
        <v>0</v>
      </c>
      <c r="D54" s="241">
        <f>SUMIF('Invulblad NWB'!$AB$5:$AB$12,$A54,'Invulblad NWB'!$AF$5:$AF$12)</f>
        <v>0</v>
      </c>
      <c r="E54" s="205" t="str">
        <f>IF(D54=0,"-",C54/D54)</f>
        <v>-</v>
      </c>
      <c r="F54" s="238">
        <f>IF($C54=0,0,(SUMIF('Invulblad NWB'!$C$5:$C$12,$A54,'Invulblad NWB'!$AJ$5:$AJ$12)/C54))</f>
        <v>0</v>
      </c>
      <c r="G54" s="240"/>
      <c r="H54" s="240">
        <f>IF($D54=0,0,(SUMIF('Invulblad NWB'!$AB$5:$AB$6,$A54,'Invulblad NWB'!$AR$5:$AR$12)/D54))</f>
        <v>0</v>
      </c>
      <c r="I54" s="240"/>
      <c r="J54" s="240"/>
      <c r="K54" s="240">
        <f>IF($C54=0,0,(SUMIF('Invulblad NWB'!$AB$5:$AB$12,$A54,'Invulblad NWB'!$AS$5:$AS$12)/C54))</f>
        <v>0</v>
      </c>
      <c r="L54" s="240">
        <f>IF($C54=0,0,(SUMIF('Invulblad NWB'!$AB$5:$AB$12,$A54,'Invulblad NWB'!$AS$5:$AS$12)/D54))</f>
        <v>0</v>
      </c>
      <c r="N54" s="205" t="str">
        <f>IF(SUMIF('Invulblad NWB'!$AB$5:$AB$12,$A54,'Invulblad NWB'!$AJ$5:$AJ$12)=0,"-",SUMIF('Invulblad NWB'!$AB$5:$AB$12,$A54,'Invulblad NWB'!$AH$5:$AH$12)/SUMIF('Invulblad NWB'!$AB$5:$AB$12,$A54,'Invulblad NWB'!$AJ$5:$AJ$12))</f>
        <v>-</v>
      </c>
      <c r="O54" s="238" t="str">
        <f>IF($D54=0,"-",(SUMIF('Invulblad NWB'!$AB$5:$AB$11,$A54,'Invulblad NWB'!$AL$5:$AL$11)/$D54))</f>
        <v>-</v>
      </c>
      <c r="P54" s="238" t="str">
        <f>IF($D54=0,"-",(SUMIF('Invulblad NWB'!$AB$5:$AB$11,$A54,'Invulblad NWB'!$AN$5:$AN$11)/$D54))</f>
        <v>-</v>
      </c>
      <c r="Q54" s="205" t="str">
        <f>IF($D54=0,"-",(SUMIF('Invulblad NWB'!$AB$5:$AB$11,$A54,'Invulblad NWB'!$AN$5:$AN$11)/(SUMIF('Invulblad NWB'!$AB$5:$AB$11,$A54,'Invulblad NWB'!$AL$5:$AL$11))))</f>
        <v>-</v>
      </c>
      <c r="R54" s="205" t="str">
        <f>IF($D54=0,"-",(SUMIF('Invulblad NWB'!$AB$5:$AB$11,$A54,'Invulblad NWB'!$AN$5:$AN$11)/(SUMIF('Invulblad NWB'!$AB$5:$AB$11,$A54,'Invulblad NWB'!$AJ$5:$AJ$11))))</f>
        <v>-</v>
      </c>
      <c r="S54" s="238" t="str">
        <f>IF($D54=0,"-",(SUMIF('Invulblad NWB'!$AB$5:$AB$11,$A54,'Invulblad NWB'!$AO$5:$AO$11)/$D54))</f>
        <v>-</v>
      </c>
      <c r="T54" s="205" t="str">
        <f>IF($D54=0,"-",(SUMIF('Invulblad NWB'!$AB$5:$AB$11,$A54,'Invulblad NWB'!$AO$5:$AO$11)/(SUMIF('Invulblad NWB'!$AB$5:$AB$11,$A54,'Invulblad NWB'!$AL$5:$AL$11))))</f>
        <v>-</v>
      </c>
      <c r="U54" s="205" t="str">
        <f>IF($D54=0,"-",(SUMIF('Invulblad NWB'!$AB$5:$AB$11,$A54,'Invulblad NWB'!$AO$5:$AO$11)/(SUMIF('Invulblad NWB'!$AB$5:$AB$11,$A54,'Invulblad NWB'!$AJ$5:$AJ$11))))</f>
        <v>-</v>
      </c>
      <c r="V54" s="238" t="str">
        <f>IF($D54=0,"-",(SUMIF('Invulblad NWB'!$AB$5:$AB$11,$A54,'Invulblad NWB'!$AP$5:$AP$11)/$D54))</f>
        <v>-</v>
      </c>
      <c r="W54" s="205" t="str">
        <f>IF($D54=0,"-",(SUMIF('Invulblad NWB'!$AB$5:$AB$11,$A54,'Invulblad NWB'!$AP$5:$AP$11)/(SUMIF('Invulblad NWB'!$AB$5:$AB$11,$A54,'Invulblad NWB'!$AL$5:$AL$11))))</f>
        <v>-</v>
      </c>
      <c r="X54" s="205" t="str">
        <f>IF($D54=0,"-",(SUMIF('Invulblad NWB'!$AB$5:$AB$11,$A54,'Invulblad NWB'!$AP$5:$AP$11)/(SUMIF('Invulblad NWB'!$AB$5:$AB$11,$A54,'Invulblad NWB'!$AJ$5:$AJ$11))))</f>
        <v>-</v>
      </c>
      <c r="Y54" s="238" t="str">
        <f>IF($D54=0,"-",(SUMIF('Invulblad NWB'!$AB$5:$AB$11,$A54,'Invulblad NWB'!$AQ$5:$AQ$11)/$D54))</f>
        <v>-</v>
      </c>
      <c r="Z54" s="205" t="str">
        <f>IF($D54=0,"-",(SUMIF('Invulblad NWB'!$AB$5:$AB$11,$A54,'Invulblad NWB'!$AQ$5:$AQ$11)/(SUMIF('Invulblad NWB'!$AB$5:$AB$11,$A54,'Invulblad NWB'!$AL$5:$AL$11))))</f>
        <v>-</v>
      </c>
      <c r="AA54" s="205" t="str">
        <f>IF($D54=0,"-",(SUMIF('Invulblad NWB'!$AB$5:$AB$11,$A54,'Invulblad NWB'!$AQ$5:$AQ$11)/(SUMIF('Invulblad NWB'!$AB$5:$AB$11,$A54,'Invulblad NWB'!$AJ$5:$AJ$11))))</f>
        <v>-</v>
      </c>
      <c r="AB54" s="238" t="str">
        <f>IF($D54=0,"-",(SUMIF('Invulblad NWB'!$AB$5:$AB$11,$A54,'Invulblad NWB'!$AR$5:$AR$11)/$D54))</f>
        <v>-</v>
      </c>
      <c r="AC54" s="205" t="str">
        <f>IF($D54=0,"-",(SUMIF('Invulblad NWB'!$AB$5:$AB$11,$A54,'Invulblad NWB'!$AR$5:$AR$11)/(SUMIF('Invulblad NWB'!$AB$5:$AB$11,$A54,'Invulblad NWB'!$AL$5:$AL$11))))</f>
        <v>-</v>
      </c>
      <c r="AD54" s="205" t="str">
        <f>IF($D54=0,"-",(SUMIF('Invulblad NWB'!$AB$5:$AB$11,$A54,'Invulblad NWB'!$AR$5:$AR$11)/(SUMIF('Invulblad NWB'!$AB$5:$AB$11,$A54,'Invulblad NWB'!$AJ$5:$AJ$11))))</f>
        <v>-</v>
      </c>
      <c r="AE54"/>
      <c r="AG54" s="3"/>
    </row>
    <row r="55" spans="1:33" x14ac:dyDescent="0.2">
      <c r="A55" s="33" t="str">
        <f>hulp!F7</f>
        <v>Niet-commerciële voorzieningen</v>
      </c>
      <c r="B55" s="225"/>
      <c r="C55" s="239">
        <f>SUMIF('Invulblad NWB'!$AB$5:$AB$12,$A55,'Invulblad NWB'!$AG$5:$AG$12)</f>
        <v>0</v>
      </c>
      <c r="D55" s="239">
        <f>SUMIF('Invulblad NWB'!$AB$5:$AB$12,$A55,'Invulblad NWB'!$AF$5:$AF$12)</f>
        <v>0</v>
      </c>
      <c r="E55" s="206" t="str">
        <f>IF(D55=0,"-",C55/D55)</f>
        <v>-</v>
      </c>
      <c r="F55" s="238">
        <f>IF($C55=0,0,(SUMIF('Invulblad NWB'!$C$5:$C$12,$A55,'Invulblad NWB'!$AJ$5:$AJ$12)/C55))</f>
        <v>0</v>
      </c>
      <c r="G55" s="223"/>
      <c r="H55" s="223">
        <f>IF($D55=0,0,(SUMIF('Invulblad NWB'!$AB$5:$AB$6,$A55,'Invulblad NWB'!$AR$5:$AR$12)/D55))</f>
        <v>0</v>
      </c>
      <c r="I55" s="223"/>
      <c r="J55" s="223"/>
      <c r="K55" s="223">
        <f>IF($C55=0,0,(SUMIF('Invulblad NWB'!$AB$5:$AB$12,$A55,'Invulblad NWB'!$AS$5:$AS$12)/C55))</f>
        <v>0</v>
      </c>
      <c r="L55" s="223">
        <f>IF($C55=0,0,(SUMIF('Invulblad NWB'!$AB$5:$AB$12,$A55,'Invulblad NWB'!$AS$5:$AS$12)/D55))</f>
        <v>0</v>
      </c>
      <c r="N55" s="205" t="str">
        <f>IF(SUMIF('Invulblad NWB'!$AB$5:$AB$12,$A55,'Invulblad NWB'!$AJ$5:$AJ$12)=0,"-",SUMIF('Invulblad NWB'!$AB$5:$AB$12,$A55,'Invulblad NWB'!$AH$5:$AH$12)/SUMIF('Invulblad NWB'!$AB$5:$AB$12,$A55,'Invulblad NWB'!$AJ$5:$AJ$12))</f>
        <v>-</v>
      </c>
      <c r="O55" s="238" t="str">
        <f>IF($D55=0,"-",(SUMIF('Invulblad NWB'!$AB$5:$AB$11,$A55,'Invulblad NWB'!$AL$5:$AL$11)/$D55))</f>
        <v>-</v>
      </c>
      <c r="P55" s="238" t="str">
        <f>IF($D55=0,"-",(SUMIF('Invulblad NWB'!$AB$5:$AB$11,$A55,'Invulblad NWB'!$AN$5:$AN$11)/$D55))</f>
        <v>-</v>
      </c>
      <c r="Q55" s="205" t="str">
        <f>IF($D55=0,"-",(SUMIF('Invulblad NWB'!$AB$5:$AB$11,$A55,'Invulblad NWB'!$AN$5:$AN$11)/(SUMIF('Invulblad NWB'!$AB$5:$AB$11,$A55,'Invulblad NWB'!$AL$5:$AL$11))))</f>
        <v>-</v>
      </c>
      <c r="R55" s="205" t="str">
        <f>IF($D55=0,"-",(SUMIF('Invulblad NWB'!$AB$5:$AB$11,$A55,'Invulblad NWB'!$AN$5:$AN$11)/(SUMIF('Invulblad NWB'!$AB$5:$AB$11,$A55,'Invulblad NWB'!$AJ$5:$AJ$11))))</f>
        <v>-</v>
      </c>
      <c r="S55" s="238" t="str">
        <f>IF($D55=0,"-",(SUMIF('Invulblad NWB'!$AB$5:$AB$11,$A55,'Invulblad NWB'!$AO$5:$AO$11)/$D55))</f>
        <v>-</v>
      </c>
      <c r="T55" s="205" t="str">
        <f>IF($D55=0,"-",(SUMIF('Invulblad NWB'!$AB$5:$AB$11,$A55,'Invulblad NWB'!$AO$5:$AO$11)/(SUMIF('Invulblad NWB'!$AB$5:$AB$11,$A55,'Invulblad NWB'!$AL$5:$AL$11))))</f>
        <v>-</v>
      </c>
      <c r="U55" s="205" t="str">
        <f>IF($D55=0,"-",(SUMIF('Invulblad NWB'!$AB$5:$AB$11,$A55,'Invulblad NWB'!$AO$5:$AO$11)/(SUMIF('Invulblad NWB'!$AB$5:$AB$11,$A55,'Invulblad NWB'!$AJ$5:$AJ$11))))</f>
        <v>-</v>
      </c>
      <c r="V55" s="238" t="str">
        <f>IF($D55=0,"-",(SUMIF('Invulblad NWB'!$AB$5:$AB$11,$A55,'Invulblad NWB'!$AP$5:$AP$11)/$D55))</f>
        <v>-</v>
      </c>
      <c r="W55" s="205" t="str">
        <f>IF($D55=0,"-",(SUMIF('Invulblad NWB'!$AB$5:$AB$11,$A55,'Invulblad NWB'!$AP$5:$AP$11)/(SUMIF('Invulblad NWB'!$AB$5:$AB$11,$A55,'Invulblad NWB'!$AL$5:$AL$11))))</f>
        <v>-</v>
      </c>
      <c r="X55" s="205" t="str">
        <f>IF($D55=0,"-",(SUMIF('Invulblad NWB'!$AB$5:$AB$11,$A55,'Invulblad NWB'!$AP$5:$AP$11)/(SUMIF('Invulblad NWB'!$AB$5:$AB$11,$A55,'Invulblad NWB'!$AJ$5:$AJ$11))))</f>
        <v>-</v>
      </c>
      <c r="Y55" s="238" t="str">
        <f>IF($D55=0,"-",(SUMIF('Invulblad NWB'!$AB$5:$AB$11,$A55,'Invulblad NWB'!$AQ$5:$AQ$11)/$D55))</f>
        <v>-</v>
      </c>
      <c r="Z55" s="205" t="str">
        <f>IF($D55=0,"-",(SUMIF('Invulblad NWB'!$AB$5:$AB$11,$A55,'Invulblad NWB'!$AQ$5:$AQ$11)/(SUMIF('Invulblad NWB'!$AB$5:$AB$11,$A55,'Invulblad NWB'!$AL$5:$AL$11))))</f>
        <v>-</v>
      </c>
      <c r="AA55" s="205" t="str">
        <f>IF($D55=0,"-",(SUMIF('Invulblad NWB'!$AB$5:$AB$11,$A55,'Invulblad NWB'!$AQ$5:$AQ$11)/(SUMIF('Invulblad NWB'!$AB$5:$AB$11,$A55,'Invulblad NWB'!$AJ$5:$AJ$11))))</f>
        <v>-</v>
      </c>
      <c r="AB55" s="238" t="str">
        <f>IF($D55=0,"-",(SUMIF('Invulblad NWB'!$AB$5:$AB$11,$A55,'Invulblad NWB'!$AR$5:$AR$11)/$D55))</f>
        <v>-</v>
      </c>
      <c r="AC55" s="205" t="str">
        <f>IF($D55=0,"-",(SUMIF('Invulblad NWB'!$AB$5:$AB$11,$A55,'Invulblad NWB'!$AR$5:$AR$11)/(SUMIF('Invulblad NWB'!$AB$5:$AB$11,$A55,'Invulblad NWB'!$AL$5:$AL$11))))</f>
        <v>-</v>
      </c>
      <c r="AD55" s="205" t="str">
        <f>IF($D55=0,"-",(SUMIF('Invulblad NWB'!$AB$5:$AB$11,$A55,'Invulblad NWB'!$AR$5:$AR$11)/(SUMIF('Invulblad NWB'!$AB$5:$AB$11,$A55,'Invulblad NWB'!$AJ$5:$AJ$11))))</f>
        <v>-</v>
      </c>
      <c r="AE55"/>
      <c r="AG55" s="3"/>
    </row>
    <row r="56" spans="1:33" x14ac:dyDescent="0.2">
      <c r="A56" s="33" t="str">
        <f>hulp!F8</f>
        <v>Bedrijven</v>
      </c>
      <c r="B56" s="225"/>
      <c r="C56" s="239">
        <f>SUMIF('Invulblad NWB'!$AB$5:$AB$12,$A56,'Invulblad NWB'!$AG$5:$AG$12)</f>
        <v>0</v>
      </c>
      <c r="D56" s="239">
        <f>SUMIF('Invulblad NWB'!$AB$5:$AB$12,$A56,'Invulblad NWB'!$AF$5:$AF$12)</f>
        <v>0</v>
      </c>
      <c r="E56" s="206" t="str">
        <f>IF(D56=0,"-",C56/D56)</f>
        <v>-</v>
      </c>
      <c r="F56" s="238">
        <f>IF($C56=0,0,(SUMIF('Invulblad NWB'!$C$5:$C$12,$A56,'Invulblad NWB'!$AJ$5:$AJ$12)/C56))</f>
        <v>0</v>
      </c>
      <c r="G56" s="223"/>
      <c r="H56" s="223">
        <f>IF($D56=0,0,(SUMIF('Invulblad NWB'!$AB$5:$AB$6,$A56,'Invulblad NWB'!$AR$5:$AR$12)/D56))</f>
        <v>0</v>
      </c>
      <c r="I56" s="223"/>
      <c r="J56" s="223"/>
      <c r="K56" s="223">
        <f>IF($C56=0,0,(SUMIF('Invulblad NWB'!$AB$5:$AB$12,$A56,'Invulblad NWB'!$AS$5:$AS$12)/C56))</f>
        <v>0</v>
      </c>
      <c r="L56" s="223">
        <f>IF($C56=0,0,(SUMIF('Invulblad NWB'!$AB$5:$AB$12,$A56,'Invulblad NWB'!$AS$5:$AS$12)/D56))</f>
        <v>0</v>
      </c>
      <c r="N56" s="205" t="str">
        <f>IF(SUMIF('Invulblad NWB'!$AB$5:$AB$12,$A56,'Invulblad NWB'!$AJ$5:$AJ$12)=0,"-",SUMIF('Invulblad NWB'!$AB$5:$AB$12,$A56,'Invulblad NWB'!$AH$5:$AH$12)/SUMIF('Invulblad NWB'!$AB$5:$AB$12,$A56,'Invulblad NWB'!$AJ$5:$AJ$12))</f>
        <v>-</v>
      </c>
      <c r="O56" s="238" t="str">
        <f>IF($D56=0,"-",(SUMIF('Invulblad NWB'!$AB$5:$AB$11,$A56,'Invulblad NWB'!$AL$5:$AL$11)/$D56))</f>
        <v>-</v>
      </c>
      <c r="P56" s="238" t="str">
        <f>IF($D56=0,"-",(SUMIF('Invulblad NWB'!$AB$5:$AB$11,$A56,'Invulblad NWB'!$AN$5:$AN$11)/$D56))</f>
        <v>-</v>
      </c>
      <c r="Q56" s="205" t="str">
        <f>IF($D56=0,"-",(SUMIF('Invulblad NWB'!$AB$5:$AB$11,$A56,'Invulblad NWB'!$AN$5:$AN$11)/(SUMIF('Invulblad NWB'!$AB$5:$AB$11,$A56,'Invulblad NWB'!$AL$5:$AL$11))))</f>
        <v>-</v>
      </c>
      <c r="R56" s="205" t="str">
        <f>IF($D56=0,"-",(SUMIF('Invulblad NWB'!$AB$5:$AB$11,$A56,'Invulblad NWB'!$AN$5:$AN$11)/(SUMIF('Invulblad NWB'!$AB$5:$AB$11,$A56,'Invulblad NWB'!$AJ$5:$AJ$11))))</f>
        <v>-</v>
      </c>
      <c r="S56" s="238" t="str">
        <f>IF($D56=0,"-",(SUMIF('Invulblad NWB'!$AB$5:$AB$11,$A56,'Invulblad NWB'!$AO$5:$AO$11)/$D56))</f>
        <v>-</v>
      </c>
      <c r="T56" s="205" t="str">
        <f>IF($D56=0,"-",(SUMIF('Invulblad NWB'!$AB$5:$AB$11,$A56,'Invulblad NWB'!$AO$5:$AO$11)/(SUMIF('Invulblad NWB'!$AB$5:$AB$11,$A56,'Invulblad NWB'!$AL$5:$AL$11))))</f>
        <v>-</v>
      </c>
      <c r="U56" s="205" t="str">
        <f>IF($D56=0,"-",(SUMIF('Invulblad NWB'!$AB$5:$AB$11,$A56,'Invulblad NWB'!$AO$5:$AO$11)/(SUMIF('Invulblad NWB'!$AB$5:$AB$11,$A56,'Invulblad NWB'!$AJ$5:$AJ$11))))</f>
        <v>-</v>
      </c>
      <c r="V56" s="238" t="str">
        <f>IF($D56=0,"-",(SUMIF('Invulblad NWB'!$AB$5:$AB$11,$A56,'Invulblad NWB'!$AP$5:$AP$11)/$D56))</f>
        <v>-</v>
      </c>
      <c r="W56" s="205" t="str">
        <f>IF($D56=0,"-",(SUMIF('Invulblad NWB'!$AB$5:$AB$11,$A56,'Invulblad NWB'!$AP$5:$AP$11)/(SUMIF('Invulblad NWB'!$AB$5:$AB$11,$A56,'Invulblad NWB'!$AL$5:$AL$11))))</f>
        <v>-</v>
      </c>
      <c r="X56" s="205" t="str">
        <f>IF($D56=0,"-",(SUMIF('Invulblad NWB'!$AB$5:$AB$11,$A56,'Invulblad NWB'!$AP$5:$AP$11)/(SUMIF('Invulblad NWB'!$AB$5:$AB$11,$A56,'Invulblad NWB'!$AJ$5:$AJ$11))))</f>
        <v>-</v>
      </c>
      <c r="Y56" s="238" t="str">
        <f>IF($D56=0,"-",(SUMIF('Invulblad NWB'!$AB$5:$AB$11,$A56,'Invulblad NWB'!$AQ$5:$AQ$11)/$D56))</f>
        <v>-</v>
      </c>
      <c r="Z56" s="205" t="str">
        <f>IF($D56=0,"-",(SUMIF('Invulblad NWB'!$AB$5:$AB$11,$A56,'Invulblad NWB'!$AQ$5:$AQ$11)/(SUMIF('Invulblad NWB'!$AB$5:$AB$11,$A56,'Invulblad NWB'!$AL$5:$AL$11))))</f>
        <v>-</v>
      </c>
      <c r="AA56" s="205" t="str">
        <f>IF($D56=0,"-",(SUMIF('Invulblad NWB'!$AB$5:$AB$11,$A56,'Invulblad NWB'!$AQ$5:$AQ$11)/(SUMIF('Invulblad NWB'!$AB$5:$AB$11,$A56,'Invulblad NWB'!$AJ$5:$AJ$11))))</f>
        <v>-</v>
      </c>
      <c r="AB56" s="238" t="str">
        <f>IF($D56=0,"-",(SUMIF('Invulblad NWB'!$AB$5:$AB$11,$A56,'Invulblad NWB'!$AR$5:$AR$11)/$D56))</f>
        <v>-</v>
      </c>
      <c r="AC56" s="205" t="str">
        <f>IF($D56=0,"-",(SUMIF('Invulblad NWB'!$AB$5:$AB$11,$A56,'Invulblad NWB'!$AR$5:$AR$11)/(SUMIF('Invulblad NWB'!$AB$5:$AB$11,$A56,'Invulblad NWB'!$AL$5:$AL$11))))</f>
        <v>-</v>
      </c>
      <c r="AD56" s="205" t="str">
        <f>IF($D56=0,"-",(SUMIF('Invulblad NWB'!$AB$5:$AB$11,$A56,'Invulblad NWB'!$AR$5:$AR$11)/(SUMIF('Invulblad NWB'!$AB$5:$AB$11,$A56,'Invulblad NWB'!$AJ$5:$AJ$11))))</f>
        <v>-</v>
      </c>
      <c r="AE56"/>
      <c r="AG56" s="3"/>
    </row>
    <row r="57" spans="1:33" ht="16" thickBot="1" x14ac:dyDescent="0.25">
      <c r="A57" s="36" t="str">
        <f>hulp!F9</f>
        <v>Overig</v>
      </c>
      <c r="B57" s="94"/>
      <c r="C57" s="237">
        <f>SUMIF('Invulblad NWB'!$AB$5:$AB$12,$A57,'Invulblad NWB'!$AG$5:$AG$12)</f>
        <v>0</v>
      </c>
      <c r="D57" s="237">
        <f>SUMIF('Invulblad NWB'!$AB$5:$AB$12,$A57,'Invulblad NWB'!$AF$5:$AF$12)</f>
        <v>0</v>
      </c>
      <c r="E57" s="207" t="str">
        <f>IF(D57=0,"-",C57/D57)</f>
        <v>-</v>
      </c>
      <c r="F57" s="236">
        <f>IF($C57=0,0,(SUMIF('Invulblad NWB'!$C$5:$C$12,$A57,'Invulblad NWB'!$AJ$5:$AJ$12)/C57))</f>
        <v>0</v>
      </c>
      <c r="G57" s="218"/>
      <c r="H57" s="218">
        <f>IF($D57=0,0,(SUMIF('Invulblad NWB'!$AB$5:$AB$6,$A57,'Invulblad NWB'!$AR$5:$AR$12)/D57))</f>
        <v>0</v>
      </c>
      <c r="I57" s="218"/>
      <c r="J57" s="218"/>
      <c r="K57" s="218">
        <f>IF($C57=0,0,(SUMIF('Invulblad NWB'!$AB$5:$AB$12,$A57,'Invulblad NWB'!$AS$5:$AS$12)/C57))</f>
        <v>0</v>
      </c>
      <c r="L57" s="218">
        <f>IF($C57=0,0,(SUMIF('Invulblad NWB'!$AB$5:$AB$12,$A57,'Invulblad NWB'!$AS$5:$AS$12)/D57))</f>
        <v>0</v>
      </c>
      <c r="N57" s="265" t="str">
        <f>IF(SUMIF('Invulblad NWB'!$AB$5:$AB$12,$A57,'Invulblad NWB'!$AJ$5:$AJ$12)=0,"-",SUMIF('Invulblad NWB'!$AB$5:$AB$12,$A57,'Invulblad NWB'!$AH$5:$AH$12)/SUMIF('Invulblad NWB'!$AB$5:$AB$12,$A57,'Invulblad NWB'!$AJ$5:$AJ$12))</f>
        <v>-</v>
      </c>
      <c r="O57" s="238" t="str">
        <f>IF($D57=0,"-",(SUMIF('Invulblad NWB'!$AB$5:$AB$11,$A57,'Invulblad NWB'!$AL$5:$AL$11)/$D57))</f>
        <v>-</v>
      </c>
      <c r="P57" s="238" t="str">
        <f>IF($D57=0,"-",(SUMIF('Invulblad NWB'!$AB$5:$AB$11,$A57,'Invulblad NWB'!$AN$5:$AN$11)/$D57))</f>
        <v>-</v>
      </c>
      <c r="Q57" s="265" t="str">
        <f>IF($D57=0,"-",(SUMIF('Invulblad NWB'!$AB$5:$AB$11,$A57,'Invulblad NWB'!$AN$5:$AN$11)/(SUMIF('Invulblad NWB'!$AB$5:$AB$11,$A57,'Invulblad NWB'!$AL$5:$AL$11))))</f>
        <v>-</v>
      </c>
      <c r="R57" s="205" t="str">
        <f>IF($D57=0,"-",(SUMIF('Invulblad NWB'!$AB$5:$AB$11,$A57,'Invulblad NWB'!$AN$5:$AN$11)/(SUMIF('Invulblad NWB'!$AB$5:$AB$11,$A57,'Invulblad NWB'!$AJ$5:$AJ$11))))</f>
        <v>-</v>
      </c>
      <c r="S57" s="238" t="str">
        <f>IF($D57=0,"-",(SUMIF('Invulblad NWB'!$AB$5:$AB$11,$A57,'Invulblad NWB'!$AO$5:$AO$11)/$D57))</f>
        <v>-</v>
      </c>
      <c r="T57" s="205" t="str">
        <f>IF($D57=0,"-",(SUMIF('Invulblad NWB'!$AB$5:$AB$11,$A57,'Invulblad NWB'!$AO$5:$AO$11)/(SUMIF('Invulblad NWB'!$AB$5:$AB$11,$A57,'Invulblad NWB'!$AL$5:$AL$11))))</f>
        <v>-</v>
      </c>
      <c r="U57" s="205" t="str">
        <f>IF($D57=0,"-",(SUMIF('Invulblad NWB'!$AB$5:$AB$11,$A57,'Invulblad NWB'!$AO$5:$AO$11)/(SUMIF('Invulblad NWB'!$AB$5:$AB$11,$A57,'Invulblad NWB'!$AJ$5:$AJ$11))))</f>
        <v>-</v>
      </c>
      <c r="V57" s="238" t="str">
        <f>IF($D57=0,"-",(SUMIF('Invulblad NWB'!$AB$5:$AB$11,$A57,'Invulblad NWB'!$AP$5:$AP$11)/$D57))</f>
        <v>-</v>
      </c>
      <c r="W57" s="205" t="str">
        <f>IF($D57=0,"-",(SUMIF('Invulblad NWB'!$AB$5:$AB$11,$A57,'Invulblad NWB'!$AP$5:$AP$11)/(SUMIF('Invulblad NWB'!$AB$5:$AB$11,$A57,'Invulblad NWB'!$AL$5:$AL$11))))</f>
        <v>-</v>
      </c>
      <c r="X57" s="205" t="str">
        <f>IF($D57=0,"-",(SUMIF('Invulblad NWB'!$AB$5:$AB$11,$A57,'Invulblad NWB'!$AP$5:$AP$11)/(SUMIF('Invulblad NWB'!$AB$5:$AB$11,$A57,'Invulblad NWB'!$AJ$5:$AJ$11))))</f>
        <v>-</v>
      </c>
      <c r="Y57" s="238" t="str">
        <f>IF($D57=0,"-",(SUMIF('Invulblad NWB'!$AB$5:$AB$11,$A57,'Invulblad NWB'!$AQ$5:$AQ$11)/$D57))</f>
        <v>-</v>
      </c>
      <c r="Z57" s="205" t="str">
        <f>IF($D57=0,"-",(SUMIF('Invulblad NWB'!$AB$5:$AB$11,$A57,'Invulblad NWB'!$AQ$5:$AQ$11)/(SUMIF('Invulblad NWB'!$AB$5:$AB$11,$A57,'Invulblad NWB'!$AL$5:$AL$11))))</f>
        <v>-</v>
      </c>
      <c r="AA57" s="205" t="str">
        <f>IF($D57=0,"-",(SUMIF('Invulblad NWB'!$AB$5:$AB$11,$A57,'Invulblad NWB'!$AQ$5:$AQ$11)/(SUMIF('Invulblad NWB'!$AB$5:$AB$11,$A57,'Invulblad NWB'!$AJ$5:$AJ$11))))</f>
        <v>-</v>
      </c>
      <c r="AB57" s="238" t="str">
        <f>IF($D57=0,"-",(SUMIF('Invulblad NWB'!$AB$5:$AB$11,$A57,'Invulblad NWB'!$AR$5:$AR$11)/$D57))</f>
        <v>-</v>
      </c>
      <c r="AC57" s="205" t="str">
        <f>IF($D57=0,"-",(SUMIF('Invulblad NWB'!$AB$5:$AB$11,$A57,'Invulblad NWB'!$AR$5:$AR$11)/(SUMIF('Invulblad NWB'!$AB$5:$AB$11,$A57,'Invulblad NWB'!$AL$5:$AL$11))))</f>
        <v>-</v>
      </c>
      <c r="AD57" s="205" t="str">
        <f>IF($D57=0,"-",(SUMIF('Invulblad NWB'!$AB$5:$AB$11,$A57,'Invulblad NWB'!$AR$5:$AR$11)/(SUMIF('Invulblad NWB'!$AB$5:$AB$11,$A57,'Invulblad NWB'!$AJ$5:$AJ$11))))</f>
        <v>-</v>
      </c>
      <c r="AE57"/>
      <c r="AG57" s="3"/>
    </row>
    <row r="58" spans="1:33" ht="16" thickTop="1" x14ac:dyDescent="0.2">
      <c r="B58" s="2"/>
      <c r="C58" s="232"/>
      <c r="D58" s="232"/>
      <c r="E58" s="204"/>
      <c r="F58" s="231"/>
      <c r="G58" s="231"/>
      <c r="H58" s="231"/>
      <c r="I58" s="231"/>
      <c r="N58" s="204"/>
      <c r="O58" s="231"/>
      <c r="P58" s="231"/>
      <c r="Q58" s="204"/>
      <c r="R58" s="204"/>
      <c r="S58" s="231"/>
      <c r="T58" s="204"/>
      <c r="U58" s="204"/>
      <c r="V58" s="231"/>
      <c r="W58" s="204"/>
      <c r="X58" s="204"/>
      <c r="Y58" s="231"/>
      <c r="Z58" s="204"/>
      <c r="AA58" s="204"/>
      <c r="AB58" s="231"/>
      <c r="AC58" s="204"/>
      <c r="AD58" s="204"/>
      <c r="AE58"/>
      <c r="AG58" s="3"/>
    </row>
    <row r="59" spans="1:33" x14ac:dyDescent="0.2">
      <c r="B59" s="4" t="s">
        <v>257</v>
      </c>
      <c r="J59" s="229"/>
      <c r="K59" s="229"/>
      <c r="L59" s="229"/>
      <c r="N59" s="2"/>
      <c r="AE59"/>
      <c r="AG59" s="3"/>
    </row>
    <row r="60" spans="1:33" s="56" customFormat="1" x14ac:dyDescent="0.2">
      <c r="A60" s="19" t="s">
        <v>243</v>
      </c>
      <c r="B60" s="228" t="s">
        <v>111</v>
      </c>
      <c r="C60" s="6" t="s">
        <v>112</v>
      </c>
      <c r="D60" s="6" t="s">
        <v>112</v>
      </c>
      <c r="E60" s="6"/>
      <c r="F60" s="6" t="s">
        <v>37</v>
      </c>
      <c r="G60" s="6" t="s">
        <v>37</v>
      </c>
      <c r="H60" s="6" t="s">
        <v>41</v>
      </c>
      <c r="I60" s="6" t="s">
        <v>216</v>
      </c>
      <c r="J60" s="6" t="s">
        <v>41</v>
      </c>
      <c r="K60" s="6"/>
      <c r="L60" s="6" t="s">
        <v>216</v>
      </c>
      <c r="M60"/>
      <c r="N60" s="6"/>
      <c r="O60" s="6" t="s">
        <v>44</v>
      </c>
      <c r="P60" s="6" t="s">
        <v>248</v>
      </c>
      <c r="Q60" s="6" t="s">
        <v>248</v>
      </c>
      <c r="R60" s="6" t="s">
        <v>248</v>
      </c>
      <c r="S60" s="6" t="s">
        <v>249</v>
      </c>
      <c r="T60" s="6" t="s">
        <v>249</v>
      </c>
      <c r="U60" s="6" t="s">
        <v>249</v>
      </c>
      <c r="V60" s="6" t="s">
        <v>48</v>
      </c>
      <c r="W60" s="6" t="s">
        <v>48</v>
      </c>
      <c r="X60" s="6" t="s">
        <v>48</v>
      </c>
      <c r="Y60" s="6" t="s">
        <v>49</v>
      </c>
      <c r="Z60" s="6" t="s">
        <v>49</v>
      </c>
      <c r="AA60" s="6" t="s">
        <v>49</v>
      </c>
      <c r="AB60" s="6" t="s">
        <v>41</v>
      </c>
      <c r="AC60" s="6" t="s">
        <v>41</v>
      </c>
      <c r="AD60" s="6" t="s">
        <v>41</v>
      </c>
      <c r="AE60" s="268"/>
      <c r="AF60" s="268"/>
      <c r="AG60" s="4"/>
    </row>
    <row r="61" spans="1:33" s="56" customFormat="1" x14ac:dyDescent="0.2">
      <c r="A61" s="19"/>
      <c r="B61" s="228"/>
      <c r="C61" s="6" t="s">
        <v>260</v>
      </c>
      <c r="D61" s="6"/>
      <c r="E61" s="6"/>
      <c r="F61" s="6" t="s">
        <v>261</v>
      </c>
      <c r="G61" s="6" t="s">
        <v>261</v>
      </c>
      <c r="H61" s="6" t="s">
        <v>262</v>
      </c>
      <c r="I61" s="6" t="s">
        <v>263</v>
      </c>
      <c r="J61" s="6" t="s">
        <v>219</v>
      </c>
      <c r="K61" s="6"/>
      <c r="L61" s="6" t="s">
        <v>219</v>
      </c>
      <c r="M61"/>
      <c r="N61" s="6"/>
      <c r="O61" s="6" t="s">
        <v>219</v>
      </c>
      <c r="P61" s="6" t="s">
        <v>219</v>
      </c>
      <c r="Q61" s="6" t="s">
        <v>252</v>
      </c>
      <c r="R61" s="6" t="s">
        <v>253</v>
      </c>
      <c r="S61" s="6" t="s">
        <v>219</v>
      </c>
      <c r="T61" s="6" t="s">
        <v>252</v>
      </c>
      <c r="U61" s="6" t="s">
        <v>253</v>
      </c>
      <c r="V61" s="6" t="s">
        <v>219</v>
      </c>
      <c r="W61" s="6" t="s">
        <v>252</v>
      </c>
      <c r="X61" s="6" t="s">
        <v>253</v>
      </c>
      <c r="Y61" s="6" t="s">
        <v>219</v>
      </c>
      <c r="Z61" s="6" t="s">
        <v>252</v>
      </c>
      <c r="AA61" s="6" t="s">
        <v>253</v>
      </c>
      <c r="AB61" s="6" t="s">
        <v>219</v>
      </c>
      <c r="AC61" s="6" t="s">
        <v>252</v>
      </c>
      <c r="AD61" s="6" t="s">
        <v>253</v>
      </c>
      <c r="AE61" s="268"/>
      <c r="AF61" s="268"/>
      <c r="AG61" s="4"/>
    </row>
    <row r="62" spans="1:33" s="56" customFormat="1" x14ac:dyDescent="0.2">
      <c r="A62" s="20" t="s">
        <v>125</v>
      </c>
      <c r="B62" s="227"/>
      <c r="C62" s="8"/>
      <c r="D62" s="8"/>
      <c r="E62" s="8"/>
      <c r="F62" s="8" t="s">
        <v>254</v>
      </c>
      <c r="G62" s="8" t="s">
        <v>255</v>
      </c>
      <c r="H62" s="8" t="s">
        <v>264</v>
      </c>
      <c r="I62" s="8" t="s">
        <v>255</v>
      </c>
      <c r="J62" s="8"/>
      <c r="K62" s="8"/>
      <c r="L62" s="8" t="s">
        <v>255</v>
      </c>
      <c r="M62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68"/>
      <c r="AF62" s="268"/>
      <c r="AG62" s="4"/>
    </row>
    <row r="63" spans="1:33" x14ac:dyDescent="0.2">
      <c r="A63" s="33" t="str">
        <f>hulp!L5</f>
        <v>Autoparkeren ondergronds</v>
      </c>
      <c r="B63" s="225">
        <f>SUMIF('Invulblad NWB'!$AD$15:$AD$25,"verkoop"&amp;$A63,'Invulblad NWB'!$AU$15:$AU$25)</f>
        <v>0</v>
      </c>
      <c r="C63" s="226">
        <f>IF($B63=0,0,D63/$B63)</f>
        <v>0</v>
      </c>
      <c r="D63" s="225">
        <f>SUMIF('Invulblad NWB'!$AD$15:$AD$25,"verkoop"&amp;$A63,'Invulblad NWB'!$AV$15:$AV$25)</f>
        <v>0</v>
      </c>
      <c r="E63" s="98"/>
      <c r="F63" s="223">
        <f>IF(B63=0,0,SUMIF('Invulblad NWB'!$AD$15:$AD$25,"verkoop"&amp;$A63,'Invulblad NWB'!$AY$15:$AY$25)*1.21/B63)</f>
        <v>0</v>
      </c>
      <c r="G63" s="223">
        <f>F63/1.21</f>
        <v>0</v>
      </c>
      <c r="H63" s="223">
        <f>IF(B63=0,0,SUMIF('Invulblad NWB'!$AD$15:$AD$25,"verkoop"&amp;$A63,'Invulblad NWB'!$BF$15:$BF$25)/$B63)</f>
        <v>0</v>
      </c>
      <c r="I63" s="223">
        <f>IF(B63=0,0,SUMIF('Invulblad NWB'!$AD$15:$AD$25,"verkoop"&amp;$A63,'Invulblad NWB'!$BG$15:$BG$25)/$B63)</f>
        <v>0</v>
      </c>
      <c r="J63" s="223">
        <f>IF(D63=0,0,H63/D63)</f>
        <v>0</v>
      </c>
      <c r="K63" s="223"/>
      <c r="L63" s="223">
        <f>IF(D63=0,0,I63/D63)</f>
        <v>0</v>
      </c>
      <c r="N63" s="223"/>
      <c r="O63" s="223" t="str">
        <f>IF($B63=0,"-",SUMIF('Invulblad NWB'!$AD$15:$AD$25,"verkoop"&amp;$A63,'Invulblad NWB'!$AZ$15:$AZ$25)/$D63)</f>
        <v>-</v>
      </c>
      <c r="P63" s="223" t="str">
        <f>IF($B63=0,"-",SUMIF('Invulblad NWB'!$AD$15:$AD$25,"verkoop"&amp;$A63,'Invulblad NWB'!$BB$15:$BB$25)/$D63)</f>
        <v>-</v>
      </c>
      <c r="Q63" s="12" t="str">
        <f>IF($B63=0,"-",SUMIF('Invulblad NWB'!$AD$15:$AD$25,"verkoop"&amp;$A63,'Invulblad NWB'!$BB$15:$BB$25)/SUMIF('Invulblad NWB'!$AD$15:$AD$25,"verkoop"&amp;$A63,'Invulblad NWB'!$AZ$15:$AZ$25))</f>
        <v>-</v>
      </c>
      <c r="R63" s="12" t="str">
        <f>IF($B63=0,"-",SUMIF('Invulblad NWB'!$AD$15:$AD$25,"verkoop"&amp;$A63,'Invulblad NWB'!$BB$15:$BB$25)/SUMIF('Invulblad NWB'!$AD$15:$AD$25,"verkoop"&amp;$A63,'Invulblad NWB'!$AY$15:$AY$25))</f>
        <v>-</v>
      </c>
      <c r="S63" s="223" t="str">
        <f>IF($B63=0,"-",SUMIF('Invulblad NWB'!$AD$15:$AD$25,"verkoop"&amp;$A63,'Invulblad NWB'!$BC$15:$BC$25)/$D63)</f>
        <v>-</v>
      </c>
      <c r="T63" s="12" t="str">
        <f>IF($B63=0,"-",SUMIF('Invulblad NWB'!$AD$15:$AD$25,"verkoop"&amp;$A63,'Invulblad NWB'!$BC$15:$BC$25)/SUMIF('Invulblad NWB'!$AD$15:$AD$25,"verkoop"&amp;$A63,'Invulblad NWB'!$AZ$15:$AZ$25))</f>
        <v>-</v>
      </c>
      <c r="U63" s="12" t="str">
        <f>IF($B63=0,"-",SUMIF('Invulblad NWB'!$AD$15:$AD$25,"verkoop"&amp;$A63,'Invulblad NWB'!$BC$15:$BC$25)/SUMIF('Invulblad NWB'!$AD$15:$AD$25,"verkoop"&amp;$A63,'Invulblad NWB'!$AY$15:$AY$25))</f>
        <v>-</v>
      </c>
      <c r="V63" s="223" t="str">
        <f>IF($B63=0,"-",SUMIF('Invulblad NWB'!$AD$15:$AD$25,"verkoop"&amp;$A63,'Invulblad NWB'!$BD$15:$BD$25)/$D63)</f>
        <v>-</v>
      </c>
      <c r="W63" s="12" t="str">
        <f>IF($B63=0,"-",SUMIF('Invulblad NWB'!$AD$15:$AD$25,"verkoop"&amp;$A63,'Invulblad NWB'!$BD$15:$BD$25)/SUMIF('Invulblad NWB'!$AD$15:$AD$25,"verkoop"&amp;$A63,'Invulblad NWB'!$AZ$15:$AZ$25))</f>
        <v>-</v>
      </c>
      <c r="X63" s="12" t="str">
        <f>IF($B63=0,"-",SUMIF('Invulblad NWB'!$AD$15:$AD$25,"verkoop"&amp;$A63,'Invulblad NWB'!$BD$15:$BD$25)/SUMIF('Invulblad NWB'!$AD$15:$AD$25,"verkoop"&amp;$A63,'Invulblad NWB'!$AY$15:$AY$25))</f>
        <v>-</v>
      </c>
      <c r="Y63" s="223" t="str">
        <f>IF($B63=0,"-",SUMIF('Invulblad NWB'!$AD$15:$AD$25,"verkoop"&amp;$A63,'Invulblad NWB'!$BE$15:$BE$25)/$D63)</f>
        <v>-</v>
      </c>
      <c r="Z63" s="12" t="str">
        <f>IF($B63=0,"-",SUMIF('Invulblad NWB'!$AD$15:$AD$25,"verkoop"&amp;$A63,'Invulblad NWB'!$BE$15:$BE$25)/SUMIF('Invulblad NWB'!$AD$15:$AD$25,"verkoop"&amp;$A63,'Invulblad NWB'!$AZ$15:$AZ$25))</f>
        <v>-</v>
      </c>
      <c r="AA63" s="12" t="str">
        <f>IF($B63=0,"-",SUMIF('Invulblad NWB'!$AD$15:$AD$25,"verkoop"&amp;$A63,'Invulblad NWB'!$BE$15:$BE$25)/SUMIF('Invulblad NWB'!$AD$15:$AD$25,"verkoop"&amp;$A63,'Invulblad NWB'!$AY$15:$AY$25))</f>
        <v>-</v>
      </c>
      <c r="AB63" s="223" t="str">
        <f>IF($B63=0,"-",SUMIF('Invulblad NWB'!$AD$15:$AD$25,"verkoop"&amp;$A63,'Invulblad NWB'!$BF$15:$BF$25)/$D63)</f>
        <v>-</v>
      </c>
      <c r="AC63" s="12" t="str">
        <f>IF($B63=0,"-",SUMIF('Invulblad NWB'!$AD$15:$AD$25,"verkoop"&amp;$A63,'Invulblad NWB'!$BF$15:$BF$25)/SUMIF('Invulblad NWB'!$AD$15:$AD$25,"verkoop"&amp;$A63,'Invulblad NWB'!$AZ$15:$AZ$25))</f>
        <v>-</v>
      </c>
      <c r="AD63" s="12" t="str">
        <f>IF($B63=0,"-",SUMIF('Invulblad NWB'!$AD$15:$AD$25,"verkoop"&amp;$A63,'Invulblad NWB'!$BF$15:$BF$25)/SUMIF('Invulblad NWB'!$AD$15:$AD$25,"verkoop"&amp;$A63,'Invulblad NWB'!$AY$15:$AY$25))</f>
        <v>-</v>
      </c>
      <c r="AE63"/>
      <c r="AG63" s="3"/>
    </row>
    <row r="64" spans="1:33" x14ac:dyDescent="0.2">
      <c r="A64" s="33" t="str">
        <f>hulp!L6</f>
        <v>Autoparkeren bovengronds</v>
      </c>
      <c r="B64" s="225">
        <f>SUMIF('Invulblad NWB'!$AD$15:$AD$25,"verkoop"&amp;$A64,'Invulblad NWB'!$AU$15:$AU$25)</f>
        <v>0</v>
      </c>
      <c r="C64" s="226">
        <f>IF($B64=0,0,D64/$B64)</f>
        <v>0</v>
      </c>
      <c r="D64" s="225">
        <f>SUMIF('Invulblad NWB'!$AD$15:$AD$25,"verkoop"&amp;$A64,'Invulblad NWB'!$AV$15:$AV$25)</f>
        <v>0</v>
      </c>
      <c r="E64" s="98"/>
      <c r="F64" s="223">
        <f>IF(B64=0,0,SUMIF('Invulblad NWB'!$AD$15:$AD$25,"verkoop"&amp;$A64,'Invulblad NWB'!$AY$15:$AY$25)*1.21/B64)</f>
        <v>0</v>
      </c>
      <c r="G64" s="223">
        <f>F64/1.21</f>
        <v>0</v>
      </c>
      <c r="H64" s="223">
        <f>IF(B64=0,0,SUMIF('Invulblad NWB'!$AD$15:$AD$25,"verkoop"&amp;$A64,'Invulblad NWB'!$BF$15:$BF$25)/$B64)</f>
        <v>0</v>
      </c>
      <c r="I64" s="223">
        <f>IF(B64=0,0,SUMIF('Invulblad NWB'!$AD$15:$AD$25,"verkoop"&amp;$A64,'Invulblad NWB'!$BG$15:$BG$25)/$B64)</f>
        <v>0</v>
      </c>
      <c r="J64" s="223">
        <f>IF(D64=0,0,H64/D64)</f>
        <v>0</v>
      </c>
      <c r="K64" s="223"/>
      <c r="L64" s="223">
        <f>IF(D64=0,0,I64/D64)</f>
        <v>0</v>
      </c>
      <c r="N64" s="223"/>
      <c r="O64" s="223" t="str">
        <f>IF($B64=0,"-",SUMIF('Invulblad NWB'!$AD$15:$AD$25,"verkoop"&amp;$A64,'Invulblad NWB'!$AZ$15:$AZ$25)/$D64)</f>
        <v>-</v>
      </c>
      <c r="P64" s="223" t="str">
        <f>IF($B64=0,"-",SUMIF('Invulblad NWB'!$AD$15:$AD$25,"verkoop"&amp;$A64,'Invulblad NWB'!$BB$15:$BB$25)/$D64)</f>
        <v>-</v>
      </c>
      <c r="Q64" s="12" t="str">
        <f>IF($B64=0,"-",SUMIF('Invulblad NWB'!$AD$15:$AD$25,"verkoop"&amp;$A64,'Invulblad NWB'!$BB$15:$BB$25)/SUMIF('Invulblad NWB'!$AD$15:$AD$25,"verkoop"&amp;$A64,'Invulblad NWB'!$AZ$15:$AZ$25))</f>
        <v>-</v>
      </c>
      <c r="R64" s="12" t="str">
        <f>IF($B64=0,"-",SUMIF('Invulblad NWB'!$AD$15:$AD$25,"verkoop"&amp;$A64,'Invulblad NWB'!$BB$15:$BB$25)/SUMIF('Invulblad NWB'!$AD$15:$AD$25,"verkoop"&amp;$A64,'Invulblad NWB'!$AY$15:$AY$25))</f>
        <v>-</v>
      </c>
      <c r="S64" s="223" t="str">
        <f>IF($B64=0,"-",SUMIF('Invulblad NWB'!$AD$15:$AD$25,"verkoop"&amp;$A64,'Invulblad NWB'!$BC$15:$BC$25)/$D64)</f>
        <v>-</v>
      </c>
      <c r="T64" s="12" t="str">
        <f>IF($B64=0,"-",SUMIF('Invulblad NWB'!$AD$15:$AD$25,"verkoop"&amp;$A64,'Invulblad NWB'!$BC$15:$BC$25)/SUMIF('Invulblad NWB'!$AD$15:$AD$25,"verkoop"&amp;$A64,'Invulblad NWB'!$AZ$15:$AZ$25))</f>
        <v>-</v>
      </c>
      <c r="U64" s="12" t="str">
        <f>IF($B64=0,"-",SUMIF('Invulblad NWB'!$AD$15:$AD$25,"verkoop"&amp;$A64,'Invulblad NWB'!$BC$15:$BC$25)/SUMIF('Invulblad NWB'!$AD$15:$AD$25,"verkoop"&amp;$A64,'Invulblad NWB'!$AY$15:$AY$25))</f>
        <v>-</v>
      </c>
      <c r="V64" s="223" t="str">
        <f>IF($B64=0,"-",SUMIF('Invulblad NWB'!$AD$15:$AD$25,"verkoop"&amp;$A64,'Invulblad NWB'!$BD$15:$BD$25)/$D64)</f>
        <v>-</v>
      </c>
      <c r="W64" s="12" t="str">
        <f>IF($B64=0,"-",SUMIF('Invulblad NWB'!$AD$15:$AD$25,"verkoop"&amp;$A64,'Invulblad NWB'!$BD$15:$BD$25)/SUMIF('Invulblad NWB'!$AD$15:$AD$25,"verkoop"&amp;$A64,'Invulblad NWB'!$AZ$15:$AZ$25))</f>
        <v>-</v>
      </c>
      <c r="X64" s="12" t="str">
        <f>IF($B64=0,"-",SUMIF('Invulblad NWB'!$AD$15:$AD$25,"verkoop"&amp;$A64,'Invulblad NWB'!$BD$15:$BD$25)/SUMIF('Invulblad NWB'!$AD$15:$AD$25,"verkoop"&amp;$A64,'Invulblad NWB'!$AY$15:$AY$25))</f>
        <v>-</v>
      </c>
      <c r="Y64" s="223" t="str">
        <f>IF($B64=0,"-",SUMIF('Invulblad NWB'!$AD$15:$AD$25,"verkoop"&amp;$A64,'Invulblad NWB'!$BE$15:$BE$25)/$D64)</f>
        <v>-</v>
      </c>
      <c r="Z64" s="12" t="str">
        <f>IF($B64=0,"-",SUMIF('Invulblad NWB'!$AD$15:$AD$25,"verkoop"&amp;$A64,'Invulblad NWB'!$BE$15:$BE$25)/SUMIF('Invulblad NWB'!$AD$15:$AD$25,"verkoop"&amp;$A64,'Invulblad NWB'!$AZ$15:$AZ$25))</f>
        <v>-</v>
      </c>
      <c r="AA64" s="12" t="str">
        <f>IF($B64=0,"-",SUMIF('Invulblad NWB'!$AD$15:$AD$25,"verkoop"&amp;$A64,'Invulblad NWB'!$BE$15:$BE$25)/SUMIF('Invulblad NWB'!$AD$15:$AD$25,"verkoop"&amp;$A64,'Invulblad NWB'!$AY$15:$AY$25))</f>
        <v>-</v>
      </c>
      <c r="AB64" s="223" t="str">
        <f>IF($B64=0,"-",SUMIF('Invulblad NWB'!$AD$15:$AD$25,"verkoop"&amp;$A64,'Invulblad NWB'!$BF$15:$BF$25)/$D64)</f>
        <v>-</v>
      </c>
      <c r="AC64" s="12" t="str">
        <f>IF($B64=0,"-",SUMIF('Invulblad NWB'!$AD$15:$AD$25,"verkoop"&amp;$A64,'Invulblad NWB'!$BF$15:$BF$25)/SUMIF('Invulblad NWB'!$AD$15:$AD$25,"verkoop"&amp;$A64,'Invulblad NWB'!$AZ$15:$AZ$25))</f>
        <v>-</v>
      </c>
      <c r="AD64" s="12" t="str">
        <f>IF($B64=0,"-",SUMIF('Invulblad NWB'!$AD$15:$AD$25,"verkoop"&amp;$A64,'Invulblad NWB'!$BF$15:$BF$25)/SUMIF('Invulblad NWB'!$AD$15:$AD$25,"verkoop"&amp;$A64,'Invulblad NWB'!$AY$15:$AY$25))</f>
        <v>-</v>
      </c>
      <c r="AE64"/>
      <c r="AG64" s="3"/>
    </row>
    <row r="65" spans="1:33" x14ac:dyDescent="0.2">
      <c r="A65" s="33" t="str">
        <f>hulp!L7</f>
        <v>Autoparkeren gemengd</v>
      </c>
      <c r="B65" s="225">
        <f>SUMIF('Invulblad NWB'!$AD$15:$AD$25,"verkoop"&amp;$A65,'Invulblad NWB'!$AU$15:$AU$25)</f>
        <v>0</v>
      </c>
      <c r="C65" s="226">
        <f>IF($B65=0,0,D65/$B65)</f>
        <v>0</v>
      </c>
      <c r="D65" s="225">
        <f>SUMIF('Invulblad NWB'!$AD$15:$AD$25,"verkoop"&amp;$A65,'Invulblad NWB'!$AV$15:$AV$25)</f>
        <v>0</v>
      </c>
      <c r="E65" s="98"/>
      <c r="F65" s="223">
        <f>IF(B65=0,0,SUMIF('Invulblad NWB'!$AD$15:$AD$25,"verkoop"&amp;$A65,'Invulblad NWB'!$AY$15:$AY$25)*1.21/B65)</f>
        <v>0</v>
      </c>
      <c r="G65" s="223">
        <f>F65/1.21</f>
        <v>0</v>
      </c>
      <c r="H65" s="223">
        <f>IF(B65=0,0,SUMIF('Invulblad NWB'!$AD$15:$AD$25,"verkoop"&amp;$A65,'Invulblad NWB'!$BF$15:$BF$25)/$B65)</f>
        <v>0</v>
      </c>
      <c r="I65" s="223">
        <f>IF(B65=0,0,SUMIF('Invulblad NWB'!$AD$15:$AD$25,"verkoop"&amp;$A65,'Invulblad NWB'!$BG$15:$BG$25)/$B65)</f>
        <v>0</v>
      </c>
      <c r="J65" s="223">
        <f>IF(D65=0,0,H65/D65)</f>
        <v>0</v>
      </c>
      <c r="K65" s="223"/>
      <c r="L65" s="223">
        <f>IF(D65=0,0,I65/D65)</f>
        <v>0</v>
      </c>
      <c r="N65" s="223"/>
      <c r="O65" s="223" t="str">
        <f>IF($B65=0,"-",SUMIF('Invulblad NWB'!$AD$15:$AD$25,"verkoop"&amp;$A65,'Invulblad NWB'!$AZ$15:$AZ$25)/$D65)</f>
        <v>-</v>
      </c>
      <c r="P65" s="223" t="str">
        <f>IF($B65=0,"-",SUMIF('Invulblad NWB'!$AD$15:$AD$25,"verkoop"&amp;$A65,'Invulblad NWB'!$BB$15:$BB$25)/$D65)</f>
        <v>-</v>
      </c>
      <c r="Q65" s="12" t="str">
        <f>IF($B65=0,"-",SUMIF('Invulblad NWB'!$AD$15:$AD$25,"verkoop"&amp;$A65,'Invulblad NWB'!$BB$15:$BB$25)/SUMIF('Invulblad NWB'!$AD$15:$AD$25,"verkoop"&amp;$A65,'Invulblad NWB'!$AZ$15:$AZ$25))</f>
        <v>-</v>
      </c>
      <c r="R65" s="12" t="str">
        <f>IF($B65=0,"-",SUMIF('Invulblad NWB'!$AD$15:$AD$25,"verkoop"&amp;$A65,'Invulblad NWB'!$BB$15:$BB$25)/SUMIF('Invulblad NWB'!$AD$15:$AD$25,"verkoop"&amp;$A65,'Invulblad NWB'!$AY$15:$AY$25))</f>
        <v>-</v>
      </c>
      <c r="S65" s="223" t="str">
        <f>IF($B65=0,"-",SUMIF('Invulblad NWB'!$AD$15:$AD$25,"verkoop"&amp;$A65,'Invulblad NWB'!$BC$15:$BC$25)/$D65)</f>
        <v>-</v>
      </c>
      <c r="T65" s="12" t="str">
        <f>IF($B65=0,"-",SUMIF('Invulblad NWB'!$AD$15:$AD$25,"verkoop"&amp;$A65,'Invulblad NWB'!$BC$15:$BC$25)/SUMIF('Invulblad NWB'!$AD$15:$AD$25,"verkoop"&amp;$A65,'Invulblad NWB'!$AZ$15:$AZ$25))</f>
        <v>-</v>
      </c>
      <c r="U65" s="12" t="str">
        <f>IF($B65=0,"-",SUMIF('Invulblad NWB'!$AD$15:$AD$25,"verkoop"&amp;$A65,'Invulblad NWB'!$BC$15:$BC$25)/SUMIF('Invulblad NWB'!$AD$15:$AD$25,"verkoop"&amp;$A65,'Invulblad NWB'!$AY$15:$AY$25))</f>
        <v>-</v>
      </c>
      <c r="V65" s="223" t="str">
        <f>IF($B65=0,"-",SUMIF('Invulblad NWB'!$AD$15:$AD$25,"verkoop"&amp;$A65,'Invulblad NWB'!$BD$15:$BD$25)/$D65)</f>
        <v>-</v>
      </c>
      <c r="W65" s="12" t="str">
        <f>IF($B65=0,"-",SUMIF('Invulblad NWB'!$AD$15:$AD$25,"verkoop"&amp;$A65,'Invulblad NWB'!$BD$15:$BD$25)/SUMIF('Invulblad NWB'!$AD$15:$AD$25,"verkoop"&amp;$A65,'Invulblad NWB'!$AZ$15:$AZ$25))</f>
        <v>-</v>
      </c>
      <c r="X65" s="12" t="str">
        <f>IF($B65=0,"-",SUMIF('Invulblad NWB'!$AD$15:$AD$25,"verkoop"&amp;$A65,'Invulblad NWB'!$BD$15:$BD$25)/SUMIF('Invulblad NWB'!$AD$15:$AD$25,"verkoop"&amp;$A65,'Invulblad NWB'!$AY$15:$AY$25))</f>
        <v>-</v>
      </c>
      <c r="Y65" s="223" t="str">
        <f>IF($B65=0,"-",SUMIF('Invulblad NWB'!$AD$15:$AD$25,"verkoop"&amp;$A65,'Invulblad NWB'!$BE$15:$BE$25)/$D65)</f>
        <v>-</v>
      </c>
      <c r="Z65" s="12" t="str">
        <f>IF($B65=0,"-",SUMIF('Invulblad NWB'!$AD$15:$AD$25,"verkoop"&amp;$A65,'Invulblad NWB'!$BE$15:$BE$25)/SUMIF('Invulblad NWB'!$AD$15:$AD$25,"verkoop"&amp;$A65,'Invulblad NWB'!$AZ$15:$AZ$25))</f>
        <v>-</v>
      </c>
      <c r="AA65" s="12" t="str">
        <f>IF($B65=0,"-",SUMIF('Invulblad NWB'!$AD$15:$AD$25,"verkoop"&amp;$A65,'Invulblad NWB'!$BE$15:$BE$25)/SUMIF('Invulblad NWB'!$AD$15:$AD$25,"verkoop"&amp;$A65,'Invulblad NWB'!$AY$15:$AY$25))</f>
        <v>-</v>
      </c>
      <c r="AB65" s="223" t="str">
        <f>IF($B65=0,"-",SUMIF('Invulblad NWB'!$AD$15:$AD$25,"verkoop"&amp;$A65,'Invulblad NWB'!$BF$15:$BF$25)/$D65)</f>
        <v>-</v>
      </c>
      <c r="AC65" s="12" t="str">
        <f>IF($B65=0,"-",SUMIF('Invulblad NWB'!$AD$15:$AD$25,"verkoop"&amp;$A65,'Invulblad NWB'!$BF$15:$BF$25)/SUMIF('Invulblad NWB'!$AD$15:$AD$25,"verkoop"&amp;$A65,'Invulblad NWB'!$AZ$15:$AZ$25))</f>
        <v>-</v>
      </c>
      <c r="AD65" s="12" t="str">
        <f>IF($B65=0,"-",SUMIF('Invulblad NWB'!$AD$15:$AD$25,"verkoop"&amp;$A65,'Invulblad NWB'!$BF$15:$BF$25)/SUMIF('Invulblad NWB'!$AD$15:$AD$25,"verkoop"&amp;$A65,'Invulblad NWB'!$AY$15:$AY$25))</f>
        <v>-</v>
      </c>
      <c r="AE65"/>
      <c r="AG65" s="3"/>
    </row>
    <row r="66" spans="1:33" ht="16" thickBot="1" x14ac:dyDescent="0.25">
      <c r="A66" s="36" t="str">
        <f>hulp!L8</f>
        <v>Autoparkeren maaiveld</v>
      </c>
      <c r="B66" s="222">
        <f>SUMIF('Invulblad NWB'!$AD$15:$AD$25,"verkoop"&amp;$A66,'Invulblad NWB'!$AU$15:$AU$25)</f>
        <v>0</v>
      </c>
      <c r="C66" s="221">
        <f>IF($B66=0,0,D66/$B66)</f>
        <v>0</v>
      </c>
      <c r="D66" s="220">
        <f>SUMIF('Invulblad NWB'!$AD$15:$AD$25,"verkoop"&amp;$A66,'Invulblad NWB'!$AV$15:$AV$25)</f>
        <v>0</v>
      </c>
      <c r="E66" s="99"/>
      <c r="F66" s="218">
        <f>IF(B66=0,0,SUMIF('Invulblad NWB'!$AD$15:$AD$25,"verkoop"&amp;$A66,'Invulblad NWB'!$AY$15:$AY$25)*1.21/B66)</f>
        <v>0</v>
      </c>
      <c r="G66" s="218">
        <f>F66/1.21</f>
        <v>0</v>
      </c>
      <c r="H66" s="218">
        <f>IF(B66=0,0,SUMIF('Invulblad NWB'!$AD$15:$AD$25,"verkoop"&amp;$A66,'Invulblad NWB'!$BF$15:$BF$25)/$B66)</f>
        <v>0</v>
      </c>
      <c r="I66" s="218">
        <f>IF(B66=0,0,SUMIF('Invulblad NWB'!$AD$15:$AD$25,"verkoop"&amp;$A66,'Invulblad NWB'!$BG$15:$BG$25)/$B66)</f>
        <v>0</v>
      </c>
      <c r="J66" s="218">
        <f>IF(D66=0,0,H66/D66)</f>
        <v>0</v>
      </c>
      <c r="K66" s="218"/>
      <c r="L66" s="218">
        <f>IF(D66=0,0,I66/D66)</f>
        <v>0</v>
      </c>
      <c r="N66" s="266"/>
      <c r="O66" s="218" t="str">
        <f>IF($B66=0,"-",SUMIF('Invulblad NWB'!$AD$15:$AD$25,"verkoop"&amp;$A66,'Invulblad NWB'!$AZ$15:$AZ$25)/$D66)</f>
        <v>-</v>
      </c>
      <c r="P66" s="258" t="str">
        <f>IF($B66=0,"-",SUMIF('Invulblad NWB'!$AD$15:$AD$25,"verkoop"&amp;$A66,'Invulblad NWB'!$BB$15:$BB$25)/$D66)</f>
        <v>-</v>
      </c>
      <c r="Q66" s="257" t="str">
        <f>IF($B66=0,"-",SUMIF('Invulblad NWB'!$AD$15:$AD$25,"verkoop"&amp;$A66,'Invulblad NWB'!$BB$15:$BB$25)/SUMIF('Invulblad NWB'!$AD$15:$AD$25,"verkoop"&amp;$A66,'Invulblad NWB'!$AZ$15:$AZ$25))</f>
        <v>-</v>
      </c>
      <c r="R66" s="257" t="str">
        <f>IF($B66=0,"-",SUMIF('Invulblad NWB'!$AD$15:$AD$25,"verkoop"&amp;$A66,'Invulblad NWB'!$BB$15:$BB$25)/SUMIF('Invulblad NWB'!$AD$15:$AD$25,"verkoop"&amp;$A66,'Invulblad NWB'!$AY$15:$AY$25))</f>
        <v>-</v>
      </c>
      <c r="S66" s="258" t="str">
        <f>IF($B66=0,"-",SUMIF('Invulblad NWB'!$AD$15:$AD$25,"verkoop"&amp;$A66,'Invulblad NWB'!$BC$15:$BC$25)/$D66)</f>
        <v>-</v>
      </c>
      <c r="T66" s="257" t="str">
        <f>IF($B66=0,"-",SUMIF('Invulblad NWB'!$AD$15:$AD$25,"verkoop"&amp;$A66,'Invulblad NWB'!$BC$15:$BC$25)/SUMIF('Invulblad NWB'!$AD$15:$AD$25,"verkoop"&amp;$A66,'Invulblad NWB'!$AZ$15:$AZ$25))</f>
        <v>-</v>
      </c>
      <c r="U66" s="257" t="str">
        <f>IF($B66=0,"-",SUMIF('Invulblad NWB'!$AD$15:$AD$25,"verkoop"&amp;$A66,'Invulblad NWB'!$BC$15:$BC$25)/SUMIF('Invulblad NWB'!$AD$15:$AD$25,"verkoop"&amp;$A66,'Invulblad NWB'!$AY$15:$AY$25))</f>
        <v>-</v>
      </c>
      <c r="V66" s="258" t="str">
        <f>IF($B66=0,"-",SUMIF('Invulblad NWB'!$AD$15:$AD$25,"verkoop"&amp;$A66,'Invulblad NWB'!$BD$15:$BD$25)/$D66)</f>
        <v>-</v>
      </c>
      <c r="W66" s="257" t="str">
        <f>IF($B66=0,"-",SUMIF('Invulblad NWB'!$AD$15:$AD$25,"verkoop"&amp;$A66,'Invulblad NWB'!$BD$15:$BD$25)/SUMIF('Invulblad NWB'!$AD$15:$AD$25,"verkoop"&amp;$A66,'Invulblad NWB'!$AZ$15:$AZ$25))</f>
        <v>-</v>
      </c>
      <c r="X66" s="257" t="str">
        <f>IF($B66=0,"-",SUMIF('Invulblad NWB'!$AD$15:$AD$25,"verkoop"&amp;$A66,'Invulblad NWB'!$BD$15:$BD$25)/SUMIF('Invulblad NWB'!$AD$15:$AD$25,"verkoop"&amp;$A66,'Invulblad NWB'!$AY$15:$AY$25))</f>
        <v>-</v>
      </c>
      <c r="Y66" s="258" t="str">
        <f>IF($B66=0,"-",SUMIF('Invulblad NWB'!$AD$15:$AD$25,"verkoop"&amp;$A66,'Invulblad NWB'!$BE$15:$BE$25)/$D66)</f>
        <v>-</v>
      </c>
      <c r="Z66" s="257" t="str">
        <f>IF($B66=0,"-",SUMIF('Invulblad NWB'!$AD$15:$AD$25,"verkoop"&amp;$A66,'Invulblad NWB'!$BE$15:$BE$25)/SUMIF('Invulblad NWB'!$AD$15:$AD$25,"verkoop"&amp;$A66,'Invulblad NWB'!$AZ$15:$AZ$25))</f>
        <v>-</v>
      </c>
      <c r="AA66" s="257" t="str">
        <f>IF($B66=0,"-",SUMIF('Invulblad NWB'!$AD$15:$AD$25,"verkoop"&amp;$A66,'Invulblad NWB'!$BE$15:$BE$25)/SUMIF('Invulblad NWB'!$AD$15:$AD$25,"verkoop"&amp;$A66,'Invulblad NWB'!$AY$15:$AY$25))</f>
        <v>-</v>
      </c>
      <c r="AB66" s="258" t="str">
        <f>IF($B66=0,"-",SUMIF('Invulblad NWB'!$AD$15:$AD$25,"verkoop"&amp;$A66,'Invulblad NWB'!$BF$15:$BF$25)/$D66)</f>
        <v>-</v>
      </c>
      <c r="AC66" s="257" t="str">
        <f>IF($B66=0,"-",SUMIF('Invulblad NWB'!$AD$15:$AD$25,"verkoop"&amp;$A66,'Invulblad NWB'!$BF$15:$BF$25)/SUMIF('Invulblad NWB'!$AD$15:$AD$25,"verkoop"&amp;$A66,'Invulblad NWB'!$AZ$15:$AZ$25))</f>
        <v>-</v>
      </c>
      <c r="AD66" s="257" t="str">
        <f>IF($B66=0,"-",SUMIF('Invulblad NWB'!$AD$15:$AD$25,"verkoop"&amp;$A66,'Invulblad NWB'!$BF$15:$BF$25)/SUMIF('Invulblad NWB'!$AD$15:$AD$25,"verkoop"&amp;$A66,'Invulblad NWB'!$AY$15:$AY$25))</f>
        <v>-</v>
      </c>
      <c r="AE66"/>
      <c r="AG66" s="3"/>
    </row>
    <row r="67" spans="1:33" ht="16" thickTop="1" x14ac:dyDescent="0.2">
      <c r="B67" s="234"/>
      <c r="C67" s="233"/>
      <c r="D67" s="232"/>
      <c r="E67" s="209"/>
      <c r="F67" s="231"/>
      <c r="G67" s="231"/>
      <c r="H67" s="231"/>
      <c r="I67" s="231"/>
      <c r="J67" s="231"/>
      <c r="K67" s="231"/>
      <c r="L67" s="231"/>
      <c r="N67" s="235"/>
      <c r="O67" s="231"/>
      <c r="P67" s="231"/>
      <c r="Q67" s="235"/>
      <c r="R67" s="235"/>
      <c r="S67" s="231"/>
      <c r="T67" s="235"/>
      <c r="U67" s="235"/>
      <c r="V67" s="231"/>
      <c r="W67" s="235"/>
      <c r="X67" s="235"/>
      <c r="Y67" s="231"/>
      <c r="Z67" s="235"/>
      <c r="AA67" s="235"/>
      <c r="AB67" s="231"/>
      <c r="AC67" s="235"/>
      <c r="AD67" s="235"/>
      <c r="AE67"/>
      <c r="AG67" s="3"/>
    </row>
    <row r="68" spans="1:33" x14ac:dyDescent="0.2">
      <c r="B68" s="4" t="s">
        <v>259</v>
      </c>
      <c r="J68" s="229"/>
      <c r="K68" s="229"/>
      <c r="L68" s="229"/>
      <c r="N68" s="2"/>
      <c r="AE68"/>
      <c r="AG68" s="3"/>
    </row>
    <row r="69" spans="1:33" s="56" customFormat="1" x14ac:dyDescent="0.2">
      <c r="A69" s="19" t="s">
        <v>243</v>
      </c>
      <c r="B69" s="228" t="s">
        <v>111</v>
      </c>
      <c r="C69" s="6" t="s">
        <v>112</v>
      </c>
      <c r="D69" s="6" t="s">
        <v>112</v>
      </c>
      <c r="E69" s="6" t="s">
        <v>131</v>
      </c>
      <c r="F69" s="6" t="s">
        <v>37</v>
      </c>
      <c r="G69" s="6" t="s">
        <v>37</v>
      </c>
      <c r="H69" s="6" t="s">
        <v>41</v>
      </c>
      <c r="I69" s="6" t="s">
        <v>216</v>
      </c>
      <c r="J69" s="6" t="s">
        <v>41</v>
      </c>
      <c r="K69" s="6"/>
      <c r="L69" s="6" t="s">
        <v>216</v>
      </c>
      <c r="M69"/>
      <c r="N69" s="6" t="s">
        <v>247</v>
      </c>
      <c r="O69" s="6" t="s">
        <v>44</v>
      </c>
      <c r="P69" s="6" t="s">
        <v>248</v>
      </c>
      <c r="Q69" s="6" t="s">
        <v>248</v>
      </c>
      <c r="R69" s="6" t="s">
        <v>248</v>
      </c>
      <c r="S69" s="6" t="s">
        <v>249</v>
      </c>
      <c r="T69" s="6" t="s">
        <v>249</v>
      </c>
      <c r="U69" s="6" t="s">
        <v>249</v>
      </c>
      <c r="V69" s="6" t="s">
        <v>48</v>
      </c>
      <c r="W69" s="6" t="s">
        <v>48</v>
      </c>
      <c r="X69" s="6" t="s">
        <v>48</v>
      </c>
      <c r="Y69" s="6" t="s">
        <v>49</v>
      </c>
      <c r="Z69" s="6" t="s">
        <v>49</v>
      </c>
      <c r="AA69" s="6" t="s">
        <v>49</v>
      </c>
      <c r="AB69" s="6" t="s">
        <v>41</v>
      </c>
      <c r="AC69" s="6" t="s">
        <v>41</v>
      </c>
      <c r="AD69" s="6" t="s">
        <v>41</v>
      </c>
      <c r="AE69" s="268"/>
      <c r="AF69" s="268"/>
      <c r="AG69" s="4"/>
    </row>
    <row r="70" spans="1:33" s="56" customFormat="1" x14ac:dyDescent="0.2">
      <c r="A70" s="19"/>
      <c r="B70" s="228"/>
      <c r="C70" s="6" t="s">
        <v>260</v>
      </c>
      <c r="D70" s="6"/>
      <c r="E70" s="6" t="s">
        <v>254</v>
      </c>
      <c r="F70" s="6" t="s">
        <v>261</v>
      </c>
      <c r="G70" s="6" t="s">
        <v>261</v>
      </c>
      <c r="H70" s="6" t="s">
        <v>262</v>
      </c>
      <c r="I70" s="6" t="s">
        <v>263</v>
      </c>
      <c r="J70" s="6" t="s">
        <v>219</v>
      </c>
      <c r="K70" s="6"/>
      <c r="L70" s="6" t="s">
        <v>219</v>
      </c>
      <c r="M70"/>
      <c r="N70" s="6" t="s">
        <v>251</v>
      </c>
      <c r="O70" s="6" t="s">
        <v>219</v>
      </c>
      <c r="P70" s="6" t="s">
        <v>219</v>
      </c>
      <c r="Q70" s="6" t="s">
        <v>252</v>
      </c>
      <c r="R70" s="6" t="s">
        <v>253</v>
      </c>
      <c r="S70" s="6" t="s">
        <v>219</v>
      </c>
      <c r="T70" s="6" t="s">
        <v>252</v>
      </c>
      <c r="U70" s="6" t="s">
        <v>253</v>
      </c>
      <c r="V70" s="6" t="s">
        <v>219</v>
      </c>
      <c r="W70" s="6" t="s">
        <v>252</v>
      </c>
      <c r="X70" s="6" t="s">
        <v>253</v>
      </c>
      <c r="Y70" s="6" t="s">
        <v>219</v>
      </c>
      <c r="Z70" s="6" t="s">
        <v>252</v>
      </c>
      <c r="AA70" s="6" t="s">
        <v>253</v>
      </c>
      <c r="AB70" s="6" t="s">
        <v>219</v>
      </c>
      <c r="AC70" s="6" t="s">
        <v>252</v>
      </c>
      <c r="AD70" s="6" t="s">
        <v>253</v>
      </c>
      <c r="AE70" s="268"/>
      <c r="AF70" s="268"/>
      <c r="AG70" s="4"/>
    </row>
    <row r="71" spans="1:33" s="56" customFormat="1" x14ac:dyDescent="0.2">
      <c r="A71" s="20" t="s">
        <v>125</v>
      </c>
      <c r="B71" s="227"/>
      <c r="C71" s="8"/>
      <c r="D71" s="8"/>
      <c r="E71" s="8"/>
      <c r="F71" s="8" t="s">
        <v>254</v>
      </c>
      <c r="G71" s="8" t="s">
        <v>255</v>
      </c>
      <c r="H71" s="8" t="s">
        <v>264</v>
      </c>
      <c r="I71" s="8" t="s">
        <v>255</v>
      </c>
      <c r="J71" s="8"/>
      <c r="K71" s="8"/>
      <c r="L71" s="8" t="s">
        <v>255</v>
      </c>
      <c r="M71"/>
      <c r="N71" s="8" t="s">
        <v>256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268"/>
      <c r="AF71" s="268"/>
      <c r="AG71" s="4"/>
    </row>
    <row r="72" spans="1:33" x14ac:dyDescent="0.2">
      <c r="A72" s="33" t="str">
        <f>hulp!L5</f>
        <v>Autoparkeren ondergronds</v>
      </c>
      <c r="B72" s="225">
        <f>SUMIF('Invulblad NWB'!$AD$15:$AD$25,"verhuur"&amp;$A72,'Invulblad NWB'!$AE$15:$AE$25)</f>
        <v>0</v>
      </c>
      <c r="C72" s="226">
        <f>IF($B72=0,0,D72/$B72)</f>
        <v>0</v>
      </c>
      <c r="D72" s="225">
        <f>SUMIF('Invulblad NWB'!$AD$15:$AD$25,"verhuur"&amp;$A72,'Invulblad NWB'!$AF$15:$AF$25)</f>
        <v>0</v>
      </c>
      <c r="E72" s="224" t="str">
        <f>IF(B72=0,"-",SUMIF('Invulblad NWB'!$AD$15:$AD$25,"verhuur"&amp;$A72,'Invulblad NWB'!$AH$15:$AH$25)/B72)</f>
        <v>-</v>
      </c>
      <c r="F72" s="223">
        <f>IF(B72=0,0,SUMIF('Invulblad NWB'!$AD$15:$AD$25,"verhuur"&amp;$A72,'Invulblad NWB'!$AJ$15:$AJ$25)*1.21/B72)</f>
        <v>0</v>
      </c>
      <c r="G72" s="223">
        <f>F72/1.21</f>
        <v>0</v>
      </c>
      <c r="H72" s="223">
        <f>IF(B72=0,0,SUMIF('Invulblad NWB'!$AD$15:$AD$25,"verhuur"&amp;$A72,'Invulblad NWB'!$AR$15:$AR$25)/$B72)</f>
        <v>0</v>
      </c>
      <c r="I72" s="223">
        <f>IF(B72=0,0,SUMIF('Invulblad NWB'!$AD$15:$AD$25,"verhuur"&amp;$A72,'Invulblad NWB'!$AS$15:$AS$25)/$B72)</f>
        <v>0</v>
      </c>
      <c r="J72" s="223">
        <f>IF(D72=0,0,H72/D72)</f>
        <v>0</v>
      </c>
      <c r="K72" s="223"/>
      <c r="L72" s="223">
        <f>IF(D72=0,0,I72/D72)</f>
        <v>0</v>
      </c>
      <c r="N72" s="12" t="str">
        <f>(IF(SUMIF('Invulblad NWB'!$AD$15:$AD$25,"verhuur"&amp;$A72,'Invulblad NWB'!$AI$15:$AI$25)=0,"-",1/(SUMIF('Invulblad NWB'!$AD$15:$AD$25,"verhuur"&amp;$A72,'Invulblad NWB'!$AJ$15:$AJ$25)*1.21/SUMIF('Invulblad NWB'!$AD$15:$AD$25,"verhuur"&amp;$A72,'Invulblad NWB'!$AI$15:$AI$25))))</f>
        <v>-</v>
      </c>
      <c r="O72" s="223" t="str">
        <f>IF($B72=0,"-",SUMIF('Invulblad NWB'!$AD$15:$AD$25,"verhuur"&amp;$A72,'Invulblad NWB'!$AL$15:$AL$25)/$D72)</f>
        <v>-</v>
      </c>
      <c r="P72" s="223" t="str">
        <f>IF($B72=0,"-",SUMIF('Invulblad NWB'!$AD$15:$AD$25,"verhuur"&amp;$A72,'Invulblad NWB'!$AN$15:$AN$25)/$D72)</f>
        <v>-</v>
      </c>
      <c r="Q72" s="12" t="str">
        <f>IF($B72=0,"-",SUMIF('Invulblad NWB'!$AD$15:$AD$25,"verhuur"&amp;$A72,'Invulblad NWB'!$AN$15:$AN$25)/SUMIF('Invulblad NWB'!$AD$15:$AD$25,"verhuur"&amp;$A72,'Invulblad NWB'!$AL$15:$AL$25))</f>
        <v>-</v>
      </c>
      <c r="R72" s="12" t="str">
        <f>IF($B72=0,"-",SUMIF('Invulblad NWB'!$AD$15:$AD$25,"verhuur"&amp;$A72,'Invulblad NWB'!$AN$15:$AN$25)/(SUMIF('Invulblad NWB'!$AD$15:$AD$25,"verhuur"&amp;$A72,'Invulblad NWB'!$AJ$15:$AJ$25)))</f>
        <v>-</v>
      </c>
      <c r="S72" s="223" t="str">
        <f>IF($B72=0,"-",SUMIF('Invulblad NWB'!$AD$15:$AD$25,"verhuur"&amp;$A72,'Invulblad NWB'!$AO$15:$AO$25)/$D72)</f>
        <v>-</v>
      </c>
      <c r="T72" s="12" t="str">
        <f>IF($B72=0,"-",SUMIF('Invulblad NWB'!$AD$15:$AD$25,"verhuur"&amp;$A72,'Invulblad NWB'!$AO$15:$AO$25)/SUMIF('Invulblad NWB'!$AD$15:$AD$25,"verhuur"&amp;$A72,'Invulblad NWB'!$AL$15:$AL$25))</f>
        <v>-</v>
      </c>
      <c r="U72" s="12" t="str">
        <f>IF($B72=0,"-",SUMIF('Invulblad NWB'!$AD$15:$AD$25,"verhuur"&amp;$A72,'Invulblad NWB'!$AO$15:$AO$25)/SUMIF('Invulblad NWB'!$AD$15:$AD$25,"verhuur"&amp;$A72,'Invulblad NWB'!$AJ$15:$AJ$25))</f>
        <v>-</v>
      </c>
      <c r="V72" s="223" t="str">
        <f>IF($B72=0,"-",SUMIF('Invulblad NWB'!$AD$15:$AD$25,"verhuur"&amp;$A72,'Invulblad NWB'!$AP$15:$AP$25)/$D72)</f>
        <v>-</v>
      </c>
      <c r="W72" s="12" t="str">
        <f>IF($B72=0,"-",SUMIF('Invulblad NWB'!$AD$15:$AD$25,"verhuur"&amp;$A72,'Invulblad NWB'!$AP$15:$AP$25)/SUMIF('Invulblad NWB'!$AD$15:$AD$25,"verhuur"&amp;$A72,'Invulblad NWB'!$AL$15:$AL$25))</f>
        <v>-</v>
      </c>
      <c r="X72" s="12" t="str">
        <f>IF($B72=0,"-",SUMIF('Invulblad NWB'!$AD$15:$AD$25,"verhuur"&amp;$A72,'Invulblad NWB'!$AP$15:$AP$25)/SUMIF('Invulblad NWB'!$AD$15:$AD$25,"verhuur"&amp;$A72,'Invulblad NWB'!$AJ$15:$AJ$25))</f>
        <v>-</v>
      </c>
      <c r="Y72" s="223" t="str">
        <f>IF($B72=0,"-",SUMIF('Invulblad NWB'!$AD$15:$AD$25,"verhuur"&amp;$A72,'Invulblad NWB'!$AQ$15:$AQ$25)/$D72)</f>
        <v>-</v>
      </c>
      <c r="Z72" s="12" t="str">
        <f>IF($B72=0,"-",SUMIF('Invulblad NWB'!$AD$15:$AD$25,"verhuur"&amp;$A72,'Invulblad NWB'!$AQ$15:$AQ$25)/SUMIF('Invulblad NWB'!$AD$15:$AD$25,"verhuur"&amp;$A72,'Invulblad NWB'!$AL$15:$AL$25))</f>
        <v>-</v>
      </c>
      <c r="AA72" s="12" t="str">
        <f>IF($B72=0,"-",SUMIF('Invulblad NWB'!$AD$15:$AD$25,"verhuur"&amp;$A72,'Invulblad NWB'!$AQ$15:$AQ$25)/SUMIF('Invulblad NWB'!$AD$15:$AD$25,"verhuur"&amp;$A72,'Invulblad NWB'!$AJ$15:$AJ$25))</f>
        <v>-</v>
      </c>
      <c r="AB72" s="223" t="str">
        <f>IF($B72=0,"-",SUMIF('Invulblad NWB'!$AD$15:$AD$25,"verhuur"&amp;$A72,'Invulblad NWB'!$AR$15:$AR$25)/$D72)</f>
        <v>-</v>
      </c>
      <c r="AC72" s="12" t="str">
        <f>IF($B72=0,"-",SUMIF('Invulblad NWB'!$AD$15:$AD$25,"verhuur"&amp;$A72,'Invulblad NWB'!$AR$15:$AR$25)/SUMIF('Invulblad NWB'!$AD$15:$AD$25,"verhuur"&amp;$A72,'Invulblad NWB'!$AL$15:$AL$25))</f>
        <v>-</v>
      </c>
      <c r="AD72" s="12" t="str">
        <f>IF($B72=0,"-",SUMIF('Invulblad NWB'!$AD$15:$AD$25,"verhuur"&amp;$A72,'Invulblad NWB'!$AR$15:$AR$25)/SUMIF('Invulblad NWB'!$AD$15:$AD$25,"verhuur"&amp;$A72,'Invulblad NWB'!$AJ$15:$AJ$25))</f>
        <v>-</v>
      </c>
      <c r="AE72"/>
      <c r="AG72" s="3"/>
    </row>
    <row r="73" spans="1:33" x14ac:dyDescent="0.2">
      <c r="A73" s="33" t="str">
        <f>hulp!L6</f>
        <v>Autoparkeren bovengronds</v>
      </c>
      <c r="B73" s="225">
        <f>SUMIF('Invulblad NWB'!$AD$15:$AD$25,"verhuur"&amp;$A73,'Invulblad NWB'!$AE$15:$AE$25)</f>
        <v>0</v>
      </c>
      <c r="C73" s="226">
        <f>IF($B73=0,0,D73/$B73)</f>
        <v>0</v>
      </c>
      <c r="D73" s="225">
        <f>SUMIF('Invulblad NWB'!$AD$15:$AD$25,"verhuur"&amp;$A73,'Invulblad NWB'!$AF$15:$AF$25)</f>
        <v>0</v>
      </c>
      <c r="E73" s="224" t="str">
        <f>IF(B73=0,"-",SUMIF('Invulblad NWB'!$AD$15:$AD$25,"verhuur"&amp;$A73,'Invulblad NWB'!$AH$15:$AH$25)/B73)</f>
        <v>-</v>
      </c>
      <c r="F73" s="223">
        <f>IF(B73=0,0,SUMIF('Invulblad NWB'!$AD$15:$AD$25,"verhuur"&amp;$A73,'Invulblad NWB'!$AJ$15:$AJ$25)*1.21/B73)</f>
        <v>0</v>
      </c>
      <c r="G73" s="223">
        <f>F73/1.21</f>
        <v>0</v>
      </c>
      <c r="H73" s="223">
        <f>IF(B73=0,0,SUMIF('Invulblad NWB'!$AD$15:$AD$25,"verhuur"&amp;$A73,'Invulblad NWB'!$AR$15:$AR$25)/$B73)</f>
        <v>0</v>
      </c>
      <c r="I73" s="223">
        <f>IF(B73=0,0,SUMIF('Invulblad NWB'!$AD$15:$AD$25,"verhuur"&amp;$A73,'Invulblad NWB'!$AS$15:$AS$25)/$B73)</f>
        <v>0</v>
      </c>
      <c r="J73" s="223">
        <f>IF(D73=0,0,H73/D73)</f>
        <v>0</v>
      </c>
      <c r="K73" s="223"/>
      <c r="L73" s="223">
        <f>IF(D73=0,0,I73/D73)</f>
        <v>0</v>
      </c>
      <c r="N73" s="12" t="str">
        <f>(IF(SUMIF('Invulblad NWB'!$AD$15:$AD$25,"verhuur"&amp;$A73,'Invulblad NWB'!$AI$15:$AI$25)=0,"-",1/(SUMIF('Invulblad NWB'!$AD$15:$AD$25,"verhuur"&amp;$A73,'Invulblad NWB'!$AJ$15:$AJ$25)*1.21/SUMIF('Invulblad NWB'!$AD$15:$AD$25,"verhuur"&amp;$A73,'Invulblad NWB'!$AI$15:$AI$25))))</f>
        <v>-</v>
      </c>
      <c r="O73" s="223" t="str">
        <f>IF($B73=0,"-",SUMIF('Invulblad NWB'!$AD$15:$AD$25,"verhuur"&amp;$A73,'Invulblad NWB'!$AL$15:$AL$25)/$D73)</f>
        <v>-</v>
      </c>
      <c r="P73" s="223" t="str">
        <f>IF($B73=0,"-",SUMIF('Invulblad NWB'!$AD$15:$AD$25,"verhuur"&amp;$A73,'Invulblad NWB'!$AN$15:$AN$25)/$D73)</f>
        <v>-</v>
      </c>
      <c r="Q73" s="12" t="str">
        <f>IF($B73=0,"-",SUMIF('Invulblad NWB'!$AD$15:$AD$25,"verhuur"&amp;$A73,'Invulblad NWB'!$AN$15:$AN$25)/SUMIF('Invulblad NWB'!$AD$15:$AD$25,"verhuur"&amp;$A73,'Invulblad NWB'!$AL$15:$AL$25))</f>
        <v>-</v>
      </c>
      <c r="R73" s="12" t="str">
        <f>IF($B73=0,"-",SUMIF('Invulblad NWB'!$AD$15:$AD$25,"verhuur"&amp;$A73,'Invulblad NWB'!$AN$15:$AN$25)/(SUMIF('Invulblad NWB'!$AD$15:$AD$25,"verhuur"&amp;$A73,'Invulblad NWB'!$AJ$15:$AJ$25)))</f>
        <v>-</v>
      </c>
      <c r="S73" s="223" t="str">
        <f>IF($B73=0,"-",SUMIF('Invulblad NWB'!$AD$15:$AD$25,"verhuur"&amp;$A73,'Invulblad NWB'!$AO$15:$AO$25)/$D73)</f>
        <v>-</v>
      </c>
      <c r="T73" s="12" t="str">
        <f>IF($B73=0,"-",SUMIF('Invulblad NWB'!$AD$15:$AD$25,"verhuur"&amp;$A73,'Invulblad NWB'!$AO$15:$AO$25)/SUMIF('Invulblad NWB'!$AD$15:$AD$25,"verhuur"&amp;$A73,'Invulblad NWB'!$AL$15:$AL$25))</f>
        <v>-</v>
      </c>
      <c r="U73" s="12" t="str">
        <f>IF($B73=0,"-",SUMIF('Invulblad NWB'!$AD$15:$AD$25,"verhuur"&amp;$A73,'Invulblad NWB'!$AO$15:$AO$25)/SUMIF('Invulblad NWB'!$AD$15:$AD$25,"verhuur"&amp;$A73,'Invulblad NWB'!$AJ$15:$AJ$25))</f>
        <v>-</v>
      </c>
      <c r="V73" s="223" t="str">
        <f>IF($B73=0,"-",SUMIF('Invulblad NWB'!$AD$15:$AD$25,"verhuur"&amp;$A73,'Invulblad NWB'!$AP$15:$AP$25)/$D73)</f>
        <v>-</v>
      </c>
      <c r="W73" s="12" t="str">
        <f>IF($B73=0,"-",SUMIF('Invulblad NWB'!$AD$15:$AD$25,"verhuur"&amp;$A73,'Invulblad NWB'!$AP$15:$AP$25)/SUMIF('Invulblad NWB'!$AD$15:$AD$25,"verhuur"&amp;$A73,'Invulblad NWB'!$AL$15:$AL$25))</f>
        <v>-</v>
      </c>
      <c r="X73" s="12" t="str">
        <f>IF($B73=0,"-",SUMIF('Invulblad NWB'!$AD$15:$AD$25,"verhuur"&amp;$A73,'Invulblad NWB'!$AP$15:$AP$25)/SUMIF('Invulblad NWB'!$AD$15:$AD$25,"verhuur"&amp;$A73,'Invulblad NWB'!$AJ$15:$AJ$25))</f>
        <v>-</v>
      </c>
      <c r="Y73" s="223" t="str">
        <f>IF($B73=0,"-",SUMIF('Invulblad NWB'!$AD$15:$AD$25,"verhuur"&amp;$A73,'Invulblad NWB'!$AQ$15:$AQ$25)/$D73)</f>
        <v>-</v>
      </c>
      <c r="Z73" s="12" t="str">
        <f>IF($B73=0,"-",SUMIF('Invulblad NWB'!$AD$15:$AD$25,"verhuur"&amp;$A73,'Invulblad NWB'!$AQ$15:$AQ$25)/SUMIF('Invulblad NWB'!$AD$15:$AD$25,"verhuur"&amp;$A73,'Invulblad NWB'!$AL$15:$AL$25))</f>
        <v>-</v>
      </c>
      <c r="AA73" s="12" t="str">
        <f>IF($B73=0,"-",SUMIF('Invulblad NWB'!$AD$15:$AD$25,"verhuur"&amp;$A73,'Invulblad NWB'!$AQ$15:$AQ$25)/SUMIF('Invulblad NWB'!$AD$15:$AD$25,"verhuur"&amp;$A73,'Invulblad NWB'!$AJ$15:$AJ$25))</f>
        <v>-</v>
      </c>
      <c r="AB73" s="223" t="str">
        <f>IF($B73=0,"-",SUMIF('Invulblad NWB'!$AD$15:$AD$25,"verhuur"&amp;$A73,'Invulblad NWB'!$AR$15:$AR$25)/$D73)</f>
        <v>-</v>
      </c>
      <c r="AC73" s="12" t="str">
        <f>IF($B73=0,"-",SUMIF('Invulblad NWB'!$AD$15:$AD$25,"verhuur"&amp;$A73,'Invulblad NWB'!$AR$15:$AR$25)/SUMIF('Invulblad NWB'!$AD$15:$AD$25,"verhuur"&amp;$A73,'Invulblad NWB'!$AL$15:$AL$25))</f>
        <v>-</v>
      </c>
      <c r="AD73" s="12" t="str">
        <f>IF($B73=0,"-",SUMIF('Invulblad NWB'!$AD$15:$AD$25,"verhuur"&amp;$A73,'Invulblad NWB'!$AR$15:$AR$25)/SUMIF('Invulblad NWB'!$AD$15:$AD$25,"verhuur"&amp;$A73,'Invulblad NWB'!$AJ$15:$AJ$25))</f>
        <v>-</v>
      </c>
      <c r="AE73"/>
      <c r="AG73" s="3"/>
    </row>
    <row r="74" spans="1:33" x14ac:dyDescent="0.2">
      <c r="A74" s="33" t="str">
        <f>hulp!L7</f>
        <v>Autoparkeren gemengd</v>
      </c>
      <c r="B74" s="225">
        <f>SUMIF('Invulblad NWB'!$AD$15:$AD$25,"verhuur"&amp;$A74,'Invulblad NWB'!$AE$15:$AE$25)</f>
        <v>0</v>
      </c>
      <c r="C74" s="226">
        <f>IF($B74=0,0,D74/$B74)</f>
        <v>0</v>
      </c>
      <c r="D74" s="225">
        <f>SUMIF('Invulblad NWB'!$AD$15:$AD$25,"verhuur"&amp;$A74,'Invulblad NWB'!$AF$15:$AF$25)</f>
        <v>0</v>
      </c>
      <c r="E74" s="224" t="str">
        <f>IF(B74=0,"-",SUMIF('Invulblad NWB'!$AD$15:$AD$25,"verhuur"&amp;$A74,'Invulblad NWB'!$AH$15:$AH$25)/B74)</f>
        <v>-</v>
      </c>
      <c r="F74" s="223">
        <f>IF(B74=0,0,SUMIF('Invulblad NWB'!$AD$15:$AD$25,"verhuur"&amp;$A74,'Invulblad NWB'!$AJ$15:$AJ$25)*1.21/B74)</f>
        <v>0</v>
      </c>
      <c r="G74" s="223">
        <f>F74/1.21</f>
        <v>0</v>
      </c>
      <c r="H74" s="223">
        <f>IF(B74=0,0,SUMIF('Invulblad NWB'!$AD$15:$AD$25,"verhuur"&amp;$A74,'Invulblad NWB'!$AR$15:$AR$25)/$B74)</f>
        <v>0</v>
      </c>
      <c r="I74" s="223">
        <f>IF(B74=0,0,SUMIF('Invulblad NWB'!$AD$15:$AD$25,"verhuur"&amp;$A74,'Invulblad NWB'!$AS$15:$AS$25)/$B74)</f>
        <v>0</v>
      </c>
      <c r="J74" s="223">
        <f>IF(D74=0,0,H74/D74)</f>
        <v>0</v>
      </c>
      <c r="K74" s="223"/>
      <c r="L74" s="223">
        <f>IF(D74=0,0,I74/D74)</f>
        <v>0</v>
      </c>
      <c r="N74" s="12" t="str">
        <f>(IF(SUMIF('Invulblad NWB'!$AD$15:$AD$25,"verhuur"&amp;$A74,'Invulblad NWB'!$AI$15:$AI$25)=0,"-",1/(SUMIF('Invulblad NWB'!$AD$15:$AD$25,"verhuur"&amp;$A74,'Invulblad NWB'!$AJ$15:$AJ$25)*1.21/SUMIF('Invulblad NWB'!$AD$15:$AD$25,"verhuur"&amp;$A74,'Invulblad NWB'!$AI$15:$AI$25))))</f>
        <v>-</v>
      </c>
      <c r="O74" s="223" t="str">
        <f>IF($B74=0,"-",SUMIF('Invulblad NWB'!$AD$15:$AD$25,"verhuur"&amp;$A74,'Invulblad NWB'!$AL$15:$AL$25)/$D74)</f>
        <v>-</v>
      </c>
      <c r="P74" s="223" t="str">
        <f>IF($B74=0,"-",SUMIF('Invulblad NWB'!$AD$15:$AD$25,"verhuur"&amp;$A74,'Invulblad NWB'!$AN$15:$AN$25)/$D74)</f>
        <v>-</v>
      </c>
      <c r="Q74" s="12" t="str">
        <f>IF($B74=0,"-",SUMIF('Invulblad NWB'!$AD$15:$AD$25,"verhuur"&amp;$A74,'Invulblad NWB'!$AN$15:$AN$25)/SUMIF('Invulblad NWB'!$AD$15:$AD$25,"verhuur"&amp;$A74,'Invulblad NWB'!$AL$15:$AL$25))</f>
        <v>-</v>
      </c>
      <c r="R74" s="12" t="str">
        <f>IF($B74=0,"-",SUMIF('Invulblad NWB'!$AD$15:$AD$25,"verhuur"&amp;$A74,'Invulblad NWB'!$AN$15:$AN$25)/(SUMIF('Invulblad NWB'!$AD$15:$AD$25,"verhuur"&amp;$A74,'Invulblad NWB'!$AJ$15:$AJ$25)))</f>
        <v>-</v>
      </c>
      <c r="S74" s="223" t="str">
        <f>IF($B74=0,"-",SUMIF('Invulblad NWB'!$AD$15:$AD$25,"verhuur"&amp;$A74,'Invulblad NWB'!$AO$15:$AO$25)/$D74)</f>
        <v>-</v>
      </c>
      <c r="T74" s="12" t="str">
        <f>IF($B74=0,"-",SUMIF('Invulblad NWB'!$AD$15:$AD$25,"verhuur"&amp;$A74,'Invulblad NWB'!$AO$15:$AO$25)/SUMIF('Invulblad NWB'!$AD$15:$AD$25,"verhuur"&amp;$A74,'Invulblad NWB'!$AL$15:$AL$25))</f>
        <v>-</v>
      </c>
      <c r="U74" s="12" t="str">
        <f>IF($B74=0,"-",SUMIF('Invulblad NWB'!$AD$15:$AD$25,"verhuur"&amp;$A74,'Invulblad NWB'!$AO$15:$AO$25)/SUMIF('Invulblad NWB'!$AD$15:$AD$25,"verhuur"&amp;$A74,'Invulblad NWB'!$AJ$15:$AJ$25))</f>
        <v>-</v>
      </c>
      <c r="V74" s="223" t="str">
        <f>IF($B74=0,"-",SUMIF('Invulblad NWB'!$AD$15:$AD$25,"verhuur"&amp;$A74,'Invulblad NWB'!$AP$15:$AP$25)/$D74)</f>
        <v>-</v>
      </c>
      <c r="W74" s="12" t="str">
        <f>IF($B74=0,"-",SUMIF('Invulblad NWB'!$AD$15:$AD$25,"verhuur"&amp;$A74,'Invulblad NWB'!$AP$15:$AP$25)/SUMIF('Invulblad NWB'!$AD$15:$AD$25,"verhuur"&amp;$A74,'Invulblad NWB'!$AL$15:$AL$25))</f>
        <v>-</v>
      </c>
      <c r="X74" s="12" t="str">
        <f>IF($B74=0,"-",SUMIF('Invulblad NWB'!$AD$15:$AD$25,"verhuur"&amp;$A74,'Invulblad NWB'!$AP$15:$AP$25)/SUMIF('Invulblad NWB'!$AD$15:$AD$25,"verhuur"&amp;$A74,'Invulblad NWB'!$AJ$15:$AJ$25))</f>
        <v>-</v>
      </c>
      <c r="Y74" s="223" t="str">
        <f>IF($B74=0,"-",SUMIF('Invulblad NWB'!$AD$15:$AD$25,"verhuur"&amp;$A74,'Invulblad NWB'!$AQ$15:$AQ$25)/$D74)</f>
        <v>-</v>
      </c>
      <c r="Z74" s="12" t="str">
        <f>IF($B74=0,"-",SUMIF('Invulblad NWB'!$AD$15:$AD$25,"verhuur"&amp;$A74,'Invulblad NWB'!$AQ$15:$AQ$25)/SUMIF('Invulblad NWB'!$AD$15:$AD$25,"verhuur"&amp;$A74,'Invulblad NWB'!$AL$15:$AL$25))</f>
        <v>-</v>
      </c>
      <c r="AA74" s="12" t="str">
        <f>IF($B74=0,"-",SUMIF('Invulblad NWB'!$AD$15:$AD$25,"verhuur"&amp;$A74,'Invulblad NWB'!$AQ$15:$AQ$25)/SUMIF('Invulblad NWB'!$AD$15:$AD$25,"verhuur"&amp;$A74,'Invulblad NWB'!$AJ$15:$AJ$25))</f>
        <v>-</v>
      </c>
      <c r="AB74" s="223" t="str">
        <f>IF($B74=0,"-",SUMIF('Invulblad NWB'!$AD$15:$AD$25,"verhuur"&amp;$A74,'Invulblad NWB'!$AR$15:$AR$25)/$D74)</f>
        <v>-</v>
      </c>
      <c r="AC74" s="12" t="str">
        <f>IF($B74=0,"-",SUMIF('Invulblad NWB'!$AD$15:$AD$25,"verhuur"&amp;$A74,'Invulblad NWB'!$AR$15:$AR$25)/SUMIF('Invulblad NWB'!$AD$15:$AD$25,"verhuur"&amp;$A74,'Invulblad NWB'!$AL$15:$AL$25))</f>
        <v>-</v>
      </c>
      <c r="AD74" s="12" t="str">
        <f>IF($B74=0,"-",SUMIF('Invulblad NWB'!$AD$15:$AD$25,"verhuur"&amp;$A74,'Invulblad NWB'!$AR$15:$AR$25)/SUMIF('Invulblad NWB'!$AD$15:$AD$25,"verhuur"&amp;$A74,'Invulblad NWB'!$AJ$15:$AJ$25))</f>
        <v>-</v>
      </c>
      <c r="AE74"/>
      <c r="AG74" s="3"/>
    </row>
    <row r="75" spans="1:33" ht="16" thickBot="1" x14ac:dyDescent="0.25">
      <c r="A75" s="36" t="str">
        <f>hulp!L8</f>
        <v>Autoparkeren maaiveld</v>
      </c>
      <c r="B75" s="222">
        <f>SUMIF('Invulblad NWB'!$AD$15:$AD$25,"verhuur"&amp;$A75,'Invulblad NWB'!$AE$15:$AE$25)</f>
        <v>0</v>
      </c>
      <c r="C75" s="221">
        <f>IF($B75=0,0,D75/$B75)</f>
        <v>0</v>
      </c>
      <c r="D75" s="220">
        <f>SUMIF('Invulblad NWB'!$AD$15:$AD$25,"verhuur"&amp;$A75,'Invulblad NWB'!$AF$15:$AF$25)</f>
        <v>0</v>
      </c>
      <c r="E75" s="219" t="str">
        <f>IF(B75=0,"-",SUMIF('Invulblad NWB'!$AD$15:$AD$25,"verhuur"&amp;$A75,'Invulblad NWB'!$AH$15:$AH$25)/B75)</f>
        <v>-</v>
      </c>
      <c r="F75" s="218">
        <f>IF(B75=0,0,SUMIF('Invulblad NWB'!$AD$15:$AD$25,"verhuur"&amp;$A75,'Invulblad NWB'!$AJ$15:$AJ$25)*1.21/B75)</f>
        <v>0</v>
      </c>
      <c r="G75" s="218">
        <f>F75/1.21</f>
        <v>0</v>
      </c>
      <c r="H75" s="218">
        <f>IF(B75=0,0,SUMIF('Invulblad NWB'!$AD$15:$AD$25,"verhuur"&amp;$A75,'Invulblad NWB'!$AR$15:$AR$25)/$B75)</f>
        <v>0</v>
      </c>
      <c r="I75" s="218">
        <f>IF(B75=0,0,SUMIF('Invulblad NWB'!$AD$15:$AD$25,"verhuur"&amp;$A75,'Invulblad NWB'!$AS$15:$AS$25)/$B75)</f>
        <v>0</v>
      </c>
      <c r="J75" s="218">
        <f>IF(D75=0,0,H75/D75)</f>
        <v>0</v>
      </c>
      <c r="K75" s="218"/>
      <c r="L75" s="218">
        <f>IF(D75=0,0,I75/D75)</f>
        <v>0</v>
      </c>
      <c r="N75" s="257" t="str">
        <f>(IF(SUMIF('Invulblad NWB'!$AD$15:$AD$25,"verhuur"&amp;$A75,'Invulblad NWB'!$AI$15:$AI$25)=0,"-",1/(SUMIF('Invulblad NWB'!$AD$15:$AD$25,"verhuur"&amp;$A75,'Invulblad NWB'!$AJ$15:$AJ$25)*1.21/SUMIF('Invulblad NWB'!$AD$15:$AD$25,"verhuur"&amp;$A75,'Invulblad NWB'!$AI$15:$AI$25))))</f>
        <v>-</v>
      </c>
      <c r="O75" s="218" t="str">
        <f>IF($B75=0,"-",SUMIF('Invulblad NWB'!$AD$15:$AD$25,"verhuur"&amp;$A75,'Invulblad NWB'!$AL$15:$AL$25)/$D75)</f>
        <v>-</v>
      </c>
      <c r="P75" s="258" t="str">
        <f>IF($B75=0,"-",SUMIF('Invulblad NWB'!$AD$15:$AD$25,"verhuur"&amp;$A75,'Invulblad NWB'!$AN$15:$AN$25)/$D75)</f>
        <v>-</v>
      </c>
      <c r="Q75" s="257" t="str">
        <f>IF($B75=0,"-",SUMIF('Invulblad NWB'!$AD$15:$AD$25,"verhuur"&amp;$A75,'Invulblad NWB'!$AN$15:$AN$25)/SUMIF('Invulblad NWB'!$AD$15:$AD$25,"verhuur"&amp;$A75,'Invulblad NWB'!$AL$15:$AL$25))</f>
        <v>-</v>
      </c>
      <c r="R75" s="257" t="str">
        <f>IF($B75=0,"-",SUMIF('Invulblad NWB'!$AD$15:$AD$25,"verhuur"&amp;$A75,'Invulblad NWB'!$AN$15:$AN$25)/(SUMIF('Invulblad NWB'!$AD$15:$AD$25,"verhuur"&amp;$A75,'Invulblad NWB'!$AJ$15:$AJ$25)))</f>
        <v>-</v>
      </c>
      <c r="S75" s="258" t="str">
        <f>IF($B75=0,"-",SUMIF('Invulblad NWB'!$AD$15:$AD$25,"verhuur"&amp;$A75,'Invulblad NWB'!$AO$15:$AO$25)/$D75)</f>
        <v>-</v>
      </c>
      <c r="T75" s="257" t="str">
        <f>IF($B75=0,"-",SUMIF('Invulblad NWB'!$AD$15:$AD$25,"verhuur"&amp;$A75,'Invulblad NWB'!$AO$15:$AO$25)/SUMIF('Invulblad NWB'!$AD$15:$AD$25,"verhuur"&amp;$A75,'Invulblad NWB'!$AL$15:$AL$25))</f>
        <v>-</v>
      </c>
      <c r="U75" s="257" t="str">
        <f>IF($B75=0,"-",SUMIF('Invulblad NWB'!$AD$15:$AD$25,"verhuur"&amp;$A75,'Invulblad NWB'!$AO$15:$AO$25)/SUMIF('Invulblad NWB'!$AD$15:$AD$25,"verhuur"&amp;$A75,'Invulblad NWB'!$AJ$15:$AJ$25))</f>
        <v>-</v>
      </c>
      <c r="V75" s="258" t="str">
        <f>IF($B75=0,"-",SUMIF('Invulblad NWB'!$AD$15:$AD$25,"verhuur"&amp;$A75,'Invulblad NWB'!$AP$15:$AP$25)/$D75)</f>
        <v>-</v>
      </c>
      <c r="W75" s="257" t="str">
        <f>IF($B75=0,"-",SUMIF('Invulblad NWB'!$AD$15:$AD$25,"verhuur"&amp;$A75,'Invulblad NWB'!$AP$15:$AP$25)/SUMIF('Invulblad NWB'!$AD$15:$AD$25,"verhuur"&amp;$A75,'Invulblad NWB'!$AL$15:$AL$25))</f>
        <v>-</v>
      </c>
      <c r="X75" s="257" t="str">
        <f>IF($B75=0,"-",SUMIF('Invulblad NWB'!$AD$15:$AD$25,"verhuur"&amp;$A75,'Invulblad NWB'!$AP$15:$AP$25)/SUMIF('Invulblad NWB'!$AD$15:$AD$25,"verhuur"&amp;$A75,'Invulblad NWB'!$AJ$15:$AJ$25))</f>
        <v>-</v>
      </c>
      <c r="Y75" s="258" t="str">
        <f>IF($B75=0,"-",SUMIF('Invulblad NWB'!$AD$15:$AD$25,"verhuur"&amp;$A75,'Invulblad NWB'!$AQ$15:$AQ$25)/$D75)</f>
        <v>-</v>
      </c>
      <c r="Z75" s="257" t="str">
        <f>IF($B75=0,"-",SUMIF('Invulblad NWB'!$AD$15:$AD$25,"verhuur"&amp;$A75,'Invulblad NWB'!$AQ$15:$AQ$25)/SUMIF('Invulblad NWB'!$AD$15:$AD$25,"verhuur"&amp;$A75,'Invulblad NWB'!$AL$15:$AL$25))</f>
        <v>-</v>
      </c>
      <c r="AA75" s="257" t="str">
        <f>IF($B75=0,"-",SUMIF('Invulblad NWB'!$AD$15:$AD$25,"verhuur"&amp;$A75,'Invulblad NWB'!$AQ$15:$AQ$25)/SUMIF('Invulblad NWB'!$AD$15:$AD$25,"verhuur"&amp;$A75,'Invulblad NWB'!$AJ$15:$AJ$25))</f>
        <v>-</v>
      </c>
      <c r="AB75" s="258" t="str">
        <f>IF($B75=0,"-",SUMIF('Invulblad NWB'!$AD$15:$AD$25,"verhuur"&amp;$A75,'Invulblad NWB'!$AR$15:$AR$25)/$D75)</f>
        <v>-</v>
      </c>
      <c r="AC75" s="257" t="str">
        <f>IF($B75=0,"-",SUMIF('Invulblad NWB'!$AD$15:$AD$25,"verhuur"&amp;$A75,'Invulblad NWB'!$AR$15:$AR$25)/SUMIF('Invulblad NWB'!$AD$15:$AD$25,"verhuur"&amp;$A75,'Invulblad NWB'!$AL$15:$AL$25))</f>
        <v>-</v>
      </c>
      <c r="AD75" s="257" t="str">
        <f>IF($B75=0,"-",SUMIF('Invulblad NWB'!$AD$15:$AD$25,"verhuur"&amp;$A75,'Invulblad NWB'!$AR$15:$AR$25)/SUMIF('Invulblad NWB'!$AD$15:$AD$25,"verhuur"&amp;$A75,'Invulblad NWB'!$AJ$15:$AJ$25))</f>
        <v>-</v>
      </c>
      <c r="AE75"/>
      <c r="AG75" s="3"/>
    </row>
    <row r="76" spans="1:33" ht="16" thickTop="1" x14ac:dyDescent="0.2">
      <c r="B76" s="234"/>
      <c r="C76" s="233"/>
      <c r="D76" s="232"/>
      <c r="E76" s="209"/>
      <c r="F76" s="231"/>
      <c r="G76" s="231"/>
      <c r="H76" s="231"/>
      <c r="I76" s="231"/>
      <c r="J76" s="231"/>
      <c r="K76" s="231"/>
      <c r="L76" s="231"/>
      <c r="N76" s="231"/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  <c r="AA76" s="231"/>
      <c r="AB76" s="231"/>
      <c r="AC76" s="231"/>
      <c r="AD76" s="231"/>
      <c r="AE76"/>
      <c r="AG76" s="3"/>
    </row>
    <row r="77" spans="1:33" x14ac:dyDescent="0.2">
      <c r="B77" s="4" t="s">
        <v>257</v>
      </c>
      <c r="C77" s="230"/>
      <c r="D77" s="100"/>
      <c r="F77" s="229"/>
      <c r="G77" s="229"/>
      <c r="H77" s="229"/>
      <c r="I77" s="229"/>
      <c r="J77" s="229"/>
      <c r="K77" s="229"/>
      <c r="L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/>
      <c r="AG77" s="3"/>
    </row>
    <row r="78" spans="1:33" s="56" customFormat="1" x14ac:dyDescent="0.2">
      <c r="A78" s="19" t="s">
        <v>243</v>
      </c>
      <c r="B78" s="228" t="s">
        <v>111</v>
      </c>
      <c r="C78" s="6" t="s">
        <v>112</v>
      </c>
      <c r="D78" s="6" t="s">
        <v>112</v>
      </c>
      <c r="E78" s="6"/>
      <c r="F78" s="6" t="s">
        <v>37</v>
      </c>
      <c r="G78" s="6" t="s">
        <v>37</v>
      </c>
      <c r="H78" s="6" t="s">
        <v>41</v>
      </c>
      <c r="I78" s="6" t="s">
        <v>216</v>
      </c>
      <c r="J78" s="6" t="s">
        <v>41</v>
      </c>
      <c r="K78" s="6"/>
      <c r="L78" s="6" t="s">
        <v>216</v>
      </c>
      <c r="M78"/>
      <c r="N78" s="6"/>
      <c r="O78" s="6" t="s">
        <v>44</v>
      </c>
      <c r="P78" s="6" t="s">
        <v>248</v>
      </c>
      <c r="Q78" s="6" t="s">
        <v>248</v>
      </c>
      <c r="R78" s="6" t="s">
        <v>248</v>
      </c>
      <c r="S78" s="6" t="s">
        <v>249</v>
      </c>
      <c r="T78" s="6" t="s">
        <v>249</v>
      </c>
      <c r="U78" s="6" t="s">
        <v>249</v>
      </c>
      <c r="V78" s="6" t="s">
        <v>48</v>
      </c>
      <c r="W78" s="6" t="s">
        <v>48</v>
      </c>
      <c r="X78" s="6" t="s">
        <v>48</v>
      </c>
      <c r="Y78" s="6" t="s">
        <v>49</v>
      </c>
      <c r="Z78" s="6" t="s">
        <v>49</v>
      </c>
      <c r="AA78" s="6" t="s">
        <v>49</v>
      </c>
      <c r="AB78" s="6" t="s">
        <v>41</v>
      </c>
      <c r="AC78" s="6" t="s">
        <v>41</v>
      </c>
      <c r="AD78" s="6" t="s">
        <v>41</v>
      </c>
      <c r="AE78" s="268"/>
      <c r="AF78" s="268"/>
      <c r="AG78" s="4"/>
    </row>
    <row r="79" spans="1:33" s="56" customFormat="1" x14ac:dyDescent="0.2">
      <c r="A79" s="19"/>
      <c r="B79" s="228"/>
      <c r="C79" s="6" t="s">
        <v>260</v>
      </c>
      <c r="D79" s="6"/>
      <c r="E79" s="6"/>
      <c r="F79" s="6" t="s">
        <v>261</v>
      </c>
      <c r="G79" s="6" t="s">
        <v>261</v>
      </c>
      <c r="H79" s="6" t="s">
        <v>262</v>
      </c>
      <c r="I79" s="6" t="s">
        <v>263</v>
      </c>
      <c r="J79" s="6" t="s">
        <v>219</v>
      </c>
      <c r="K79" s="6"/>
      <c r="L79" s="6" t="s">
        <v>219</v>
      </c>
      <c r="M79"/>
      <c r="N79" s="6"/>
      <c r="O79" s="6" t="s">
        <v>219</v>
      </c>
      <c r="P79" s="6" t="s">
        <v>219</v>
      </c>
      <c r="Q79" s="6" t="s">
        <v>252</v>
      </c>
      <c r="R79" s="6" t="s">
        <v>253</v>
      </c>
      <c r="S79" s="6" t="s">
        <v>219</v>
      </c>
      <c r="T79" s="6" t="s">
        <v>252</v>
      </c>
      <c r="U79" s="6" t="s">
        <v>253</v>
      </c>
      <c r="V79" s="6" t="s">
        <v>219</v>
      </c>
      <c r="W79" s="6" t="s">
        <v>252</v>
      </c>
      <c r="X79" s="6" t="s">
        <v>253</v>
      </c>
      <c r="Y79" s="6" t="s">
        <v>219</v>
      </c>
      <c r="Z79" s="6" t="s">
        <v>252</v>
      </c>
      <c r="AA79" s="6" t="s">
        <v>253</v>
      </c>
      <c r="AB79" s="6" t="s">
        <v>219</v>
      </c>
      <c r="AC79" s="6" t="s">
        <v>252</v>
      </c>
      <c r="AD79" s="6" t="s">
        <v>253</v>
      </c>
      <c r="AE79" s="268"/>
      <c r="AF79" s="268"/>
      <c r="AG79" s="4"/>
    </row>
    <row r="80" spans="1:33" s="56" customFormat="1" x14ac:dyDescent="0.2">
      <c r="A80" s="20" t="s">
        <v>126</v>
      </c>
      <c r="B80" s="227"/>
      <c r="C80" s="8"/>
      <c r="D80" s="8"/>
      <c r="E80" s="8"/>
      <c r="F80" s="8" t="s">
        <v>254</v>
      </c>
      <c r="G80" s="8" t="s">
        <v>255</v>
      </c>
      <c r="H80" s="8" t="s">
        <v>264</v>
      </c>
      <c r="I80" s="8" t="s">
        <v>255</v>
      </c>
      <c r="J80" s="8"/>
      <c r="K80" s="8"/>
      <c r="L80" s="8" t="s">
        <v>255</v>
      </c>
      <c r="M80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268"/>
      <c r="AF80" s="268"/>
      <c r="AG80" s="4"/>
    </row>
    <row r="81" spans="1:33" x14ac:dyDescent="0.2">
      <c r="A81" s="33" t="str">
        <f>hulp!L9</f>
        <v>Fietsparkeren ondergronds</v>
      </c>
      <c r="B81" s="225">
        <f>SUMIF('Invulblad NWB'!$AD$15:$AD$25,"verkoop"&amp;$A81,'Invulblad NWB'!$BX$15:$BX$25)</f>
        <v>0</v>
      </c>
      <c r="C81" s="226">
        <f>IF($B81=0,0,D81/$B81)</f>
        <v>0</v>
      </c>
      <c r="D81" s="225">
        <f>SUMIF('Invulblad NWB'!$AD$15:$AD$25,"verkoop"&amp;$A81,'Invulblad NWB'!$BY$15:$BY$25)</f>
        <v>0</v>
      </c>
      <c r="E81" s="98"/>
      <c r="F81" s="223">
        <f>IF(B81=0,0,SUMIF('Invulblad NWB'!$AD$15:$AD$25,"verkoop"&amp;$A81,'Invulblad NWB'!$CB$15:$CB$25)*1.21/B81)</f>
        <v>0</v>
      </c>
      <c r="G81" s="223">
        <f>F81/1.21</f>
        <v>0</v>
      </c>
      <c r="H81" s="223">
        <f>IF(B81=0,0,SUMIF('Invulblad NWB'!$AD$15:$AD$25,"verkoop"&amp;$A81,'Invulblad NWB'!$CI$15:$CI$25)/$B81)</f>
        <v>0</v>
      </c>
      <c r="I81" s="223">
        <f>IF(B81=0,0,SUMIF('Invulblad NWB'!$AD$15:$AD$25,"verkoop"&amp;$A81,'Invulblad NWB'!$CJ$15:$CJ$25)/$B81)</f>
        <v>0</v>
      </c>
      <c r="J81" s="223">
        <f>IF(D81=0,0,H81/D81)</f>
        <v>0</v>
      </c>
      <c r="K81" s="223"/>
      <c r="L81" s="223">
        <f>IF(D81=0,0,I81/D81)</f>
        <v>0</v>
      </c>
      <c r="N81" s="223"/>
      <c r="O81" s="223" t="str">
        <f>IF($B81=0,"-",SUMIF('Invulblad NWB'!$AD$15:$AD$25,"verkoop"&amp;$A81,'Invulblad NWB'!$CC$15:$CC$25)/$D81)</f>
        <v>-</v>
      </c>
      <c r="P81" s="223" t="str">
        <f>IF($B81=0,"-",SUMIF('Invulblad NWB'!$AD$15:$AD$25,"verkoop"&amp;$A81,'Invulblad NWB'!$CE$15:$CE$25)/$D81)</f>
        <v>-</v>
      </c>
      <c r="Q81" s="12" t="str">
        <f>IF($B81=0,"-",SUMIF('Invulblad NWB'!$AD$15:$AD$25,"verkoop"&amp;$A81,'Invulblad NWB'!$CE$15:$CE$25)/SUMIF('Invulblad NWB'!$AD$15:$AD$25,"verkoop"&amp;$A81,'Invulblad NWB'!$CC$15:$CC$25))</f>
        <v>-</v>
      </c>
      <c r="R81" s="12" t="str">
        <f>IF($B81=0,"-",SUMIF('Invulblad NWB'!$AD$15:$AD$25,"verkoop"&amp;$A81,'Invulblad NWB'!$CE$15:$CE$25)/SUMIF('Invulblad NWB'!$AD$15:$AD$25,"verkoop"&amp;$A81,'Invulblad NWB'!$CB$15:$CB$25))</f>
        <v>-</v>
      </c>
      <c r="S81" s="223" t="str">
        <f>IF($B81=0,"-",SUMIF('Invulblad NWB'!$AD$15:$AD$25,"verkoop"&amp;$A81,'Invulblad NWB'!$CF$15:$CF$25)/$D81)</f>
        <v>-</v>
      </c>
      <c r="T81" s="12" t="str">
        <f>IF($B81=0,"-",SUMIF('Invulblad NWB'!$AD$15:$AD$25,"verkoop"&amp;$A81,'Invulblad NWB'!$CF$15:$CF$25)/SUMIF('Invulblad NWB'!$AD$15:$AD$25,"verkoop"&amp;$A81,'Invulblad NWB'!$CC$15:$CC$25))</f>
        <v>-</v>
      </c>
      <c r="U81" s="12" t="str">
        <f>IF($B81=0,"-",SUMIF('Invulblad NWB'!$AD$15:$AD$25,"verkoop"&amp;$A81,'Invulblad NWB'!$CF$15:$CF$25)/SUMIF('Invulblad NWB'!$AD$15:$AD$25,"verkoop"&amp;$A81,'Invulblad NWB'!$CB$15:$CB$25))</f>
        <v>-</v>
      </c>
      <c r="V81" s="223" t="str">
        <f>IF($B81=0,"-",SUMIF('Invulblad NWB'!$AD$15:$AD$25,"verkoop"&amp;$A81,'Invulblad NWB'!$CG$15:$CG$25)/$D81)</f>
        <v>-</v>
      </c>
      <c r="W81" s="12" t="str">
        <f>IF($B81=0,"-",SUMIF('Invulblad NWB'!$AD$15:$AD$25,"verkoop"&amp;$A81,'Invulblad NWB'!$CG$15:$CG$25)/SUMIF('Invulblad NWB'!$AD$15:$AD$25,"verkoop"&amp;$A81,'Invulblad NWB'!$CC$15:$CC$25))</f>
        <v>-</v>
      </c>
      <c r="X81" s="12" t="str">
        <f>IF($B81=0,"-",SUMIF('Invulblad NWB'!$AD$15:$AD$25,"verkoop"&amp;$A81,'Invulblad NWB'!$CG$15:$CG$25)/SUMIF('Invulblad NWB'!$AD$15:$AD$25,"verkoop"&amp;$A81,'Invulblad NWB'!$CB$15:$CB$25))</f>
        <v>-</v>
      </c>
      <c r="Y81" s="223" t="str">
        <f>IF($B81=0,"-",SUMIF('Invulblad NWB'!$AD$15:$AD$25,"verkoop"&amp;$A81,'Invulblad NWB'!$CH$15:$CH$25)/$D81)</f>
        <v>-</v>
      </c>
      <c r="Z81" s="12" t="str">
        <f>IF($B81=0,"-",SUMIF('Invulblad NWB'!$AD$15:$AD$25,"verkoop"&amp;$A81,'Invulblad NWB'!$CH$15:$CH$25)/SUMIF('Invulblad NWB'!$AD$15:$AD$25,"verkoop"&amp;$A81,'Invulblad NWB'!$CC$15:$CC$25))</f>
        <v>-</v>
      </c>
      <c r="AA81" s="12" t="str">
        <f>IF($B81=0,"-",SUMIF('Invulblad NWB'!$AD$15:$AD$25,"verkoop"&amp;$A81,'Invulblad NWB'!$CH$15:$CH$25)/SUMIF('Invulblad NWB'!$AD$15:$AD$25,"verkoop"&amp;$A81,'Invulblad NWB'!$CB$15:$CB$25))</f>
        <v>-</v>
      </c>
      <c r="AB81" s="223" t="str">
        <f>IF($B81=0,"-",SUMIF('Invulblad NWB'!$AD$15:$AD$25,"verkoop"&amp;$A81,'Invulblad NWB'!$CI$15:$CI$25)/$D81)</f>
        <v>-</v>
      </c>
      <c r="AC81" s="12" t="str">
        <f>IF($B81=0,"-",SUMIF('Invulblad NWB'!$AD$15:$AD$25,"verkoop"&amp;$A81,'Invulblad NWB'!$CI$15:$CI$25)/SUMIF('Invulblad NWB'!$AD$15:$AD$25,"verkoop"&amp;$A81,'Invulblad NWB'!$CC$15:$CC$25))</f>
        <v>-</v>
      </c>
      <c r="AD81" s="12" t="str">
        <f>IF($B81=0,"-",SUMIF('Invulblad NWB'!$AD$15:$AD$25,"verkoop"&amp;$A81,'Invulblad NWB'!$CI$15:$CI$25)/SUMIF('Invulblad NWB'!$AD$15:$AD$25,"verkoop"&amp;$A81,'Invulblad NWB'!$CB$15:$CB$25))</f>
        <v>-</v>
      </c>
      <c r="AE81"/>
      <c r="AG81" s="3"/>
    </row>
    <row r="82" spans="1:33" x14ac:dyDescent="0.2">
      <c r="A82" s="33" t="str">
        <f>hulp!L10</f>
        <v>Fietsparkeren bovengronds</v>
      </c>
      <c r="B82" s="225">
        <f>SUMIF('Invulblad NWB'!$AD$15:$AD$25,"verkoop"&amp;$A82,'Invulblad NWB'!$BX$15:$BX$25)</f>
        <v>0</v>
      </c>
      <c r="C82" s="226">
        <f>IF($B82=0,0,D82/$B82)</f>
        <v>0</v>
      </c>
      <c r="D82" s="225">
        <f>SUMIF('Invulblad NWB'!$AD$15:$AD$25,"verkoop"&amp;$A82,'Invulblad NWB'!$BY$15:$BY$25)</f>
        <v>0</v>
      </c>
      <c r="E82" s="98"/>
      <c r="F82" s="223">
        <f>IF(B82=0,0,SUMIF('Invulblad NWB'!$AD$15:$AD$25,"verkoop"&amp;$A82,'Invulblad NWB'!$CB$15:$CB$25)*1.21/B82)</f>
        <v>0</v>
      </c>
      <c r="G82" s="223">
        <f>F82/1.21</f>
        <v>0</v>
      </c>
      <c r="H82" s="223">
        <f>IF(B82=0,0,SUMIF('Invulblad NWB'!$AD$15:$AD$25,"verkoop"&amp;$A82,'Invulblad NWB'!$CI$15:$CI$25)/$B82)</f>
        <v>0</v>
      </c>
      <c r="I82" s="223">
        <f>IF(B82=0,0,SUMIF('Invulblad NWB'!$AD$15:$AD$25,"verkoop"&amp;$A82,'Invulblad NWB'!$CJ$15:$CJ$25)/$B82)</f>
        <v>0</v>
      </c>
      <c r="J82" s="223">
        <f>IF(D82=0,0,H82/D82)</f>
        <v>0</v>
      </c>
      <c r="K82" s="223"/>
      <c r="L82" s="223">
        <f>IF(D82=0,0,I82/D82)</f>
        <v>0</v>
      </c>
      <c r="N82" s="223"/>
      <c r="O82" s="223" t="str">
        <f>IF($B82=0,"-",SUMIF('Invulblad NWB'!$AD$15:$AD$25,"verkoop"&amp;$A82,'Invulblad NWB'!$CC$15:$CC$25)/$D82)</f>
        <v>-</v>
      </c>
      <c r="P82" s="223" t="str">
        <f>IF($B82=0,"-",SUMIF('Invulblad NWB'!$AD$15:$AD$25,"verkoop"&amp;$A82,'Invulblad NWB'!$CE$15:$CE$25)/$D82)</f>
        <v>-</v>
      </c>
      <c r="Q82" s="12" t="str">
        <f>IF($B82=0,"-",SUMIF('Invulblad NWB'!$AD$15:$AD$25,"verkoop"&amp;$A82,'Invulblad NWB'!$CE$15:$CE$25)/SUMIF('Invulblad NWB'!$AD$15:$AD$25,"verkoop"&amp;$A82,'Invulblad NWB'!$CC$15:$CC$25))</f>
        <v>-</v>
      </c>
      <c r="R82" s="12" t="str">
        <f>IF($B82=0,"-",SUMIF('Invulblad NWB'!$AD$15:$AD$25,"verkoop"&amp;$A82,'Invulblad NWB'!$CE$15:$CE$25)/SUMIF('Invulblad NWB'!$AD$15:$AD$25,"verkoop"&amp;$A82,'Invulblad NWB'!$CB$15:$CB$25))</f>
        <v>-</v>
      </c>
      <c r="S82" s="223" t="str">
        <f>IF($B82=0,"-",SUMIF('Invulblad NWB'!$AD$15:$AD$25,"verkoop"&amp;$A82,'Invulblad NWB'!$CF$15:$CF$25)/$D82)</f>
        <v>-</v>
      </c>
      <c r="T82" s="12" t="str">
        <f>IF($B82=0,"-",SUMIF('Invulblad NWB'!$AD$15:$AD$25,"verkoop"&amp;$A82,'Invulblad NWB'!$CF$15:$CF$25)/SUMIF('Invulblad NWB'!$AD$15:$AD$25,"verkoop"&amp;$A82,'Invulblad NWB'!$CC$15:$CC$25))</f>
        <v>-</v>
      </c>
      <c r="U82" s="12" t="str">
        <f>IF($B82=0,"-",SUMIF('Invulblad NWB'!$AD$15:$AD$25,"verkoop"&amp;$A82,'Invulblad NWB'!$CF$15:$CF$25)/SUMIF('Invulblad NWB'!$AD$15:$AD$25,"verkoop"&amp;$A82,'Invulblad NWB'!$CB$15:$CB$25))</f>
        <v>-</v>
      </c>
      <c r="V82" s="223" t="str">
        <f>IF($B82=0,"-",SUMIF('Invulblad NWB'!$AD$15:$AD$25,"verkoop"&amp;$A82,'Invulblad NWB'!$CG$15:$CG$25)/$D82)</f>
        <v>-</v>
      </c>
      <c r="W82" s="12" t="str">
        <f>IF($B82=0,"-",SUMIF('Invulblad NWB'!$AD$15:$AD$25,"verkoop"&amp;$A82,'Invulblad NWB'!$CG$15:$CG$25)/SUMIF('Invulblad NWB'!$AD$15:$AD$25,"verkoop"&amp;$A82,'Invulblad NWB'!$CC$15:$CC$25))</f>
        <v>-</v>
      </c>
      <c r="X82" s="12" t="str">
        <f>IF($B82=0,"-",SUMIF('Invulblad NWB'!$AD$15:$AD$25,"verkoop"&amp;$A82,'Invulblad NWB'!$CG$15:$CG$25)/SUMIF('Invulblad NWB'!$AD$15:$AD$25,"verkoop"&amp;$A82,'Invulblad NWB'!$CB$15:$CB$25))</f>
        <v>-</v>
      </c>
      <c r="Y82" s="223" t="str">
        <f>IF($B82=0,"-",SUMIF('Invulblad NWB'!$AD$15:$AD$25,"verkoop"&amp;$A82,'Invulblad NWB'!$CH$15:$CH$25)/$D82)</f>
        <v>-</v>
      </c>
      <c r="Z82" s="12" t="str">
        <f>IF($B82=0,"-",SUMIF('Invulblad NWB'!$AD$15:$AD$25,"verkoop"&amp;$A82,'Invulblad NWB'!$CH$15:$CH$25)/SUMIF('Invulblad NWB'!$AD$15:$AD$25,"verkoop"&amp;$A82,'Invulblad NWB'!$CC$15:$CC$25))</f>
        <v>-</v>
      </c>
      <c r="AA82" s="12" t="str">
        <f>IF($B82=0,"-",SUMIF('Invulblad NWB'!$AD$15:$AD$25,"verkoop"&amp;$A82,'Invulblad NWB'!$CH$15:$CH$25)/SUMIF('Invulblad NWB'!$AD$15:$AD$25,"verkoop"&amp;$A82,'Invulblad NWB'!$CB$15:$CB$25))</f>
        <v>-</v>
      </c>
      <c r="AB82" s="223" t="str">
        <f>IF($B82=0,"-",SUMIF('Invulblad NWB'!$AD$15:$AD$25,"verkoop"&amp;$A82,'Invulblad NWB'!$CI$15:$CI$25)/$D82)</f>
        <v>-</v>
      </c>
      <c r="AC82" s="12" t="str">
        <f>IF($B82=0,"-",SUMIF('Invulblad NWB'!$AD$15:$AD$25,"verkoop"&amp;$A82,'Invulblad NWB'!$CI$15:$CI$25)/SUMIF('Invulblad NWB'!$AD$15:$AD$25,"verkoop"&amp;$A82,'Invulblad NWB'!$CC$15:$CC$25))</f>
        <v>-</v>
      </c>
      <c r="AD82" s="12" t="str">
        <f>IF($B82=0,"-",SUMIF('Invulblad NWB'!$AD$15:$AD$25,"verkoop"&amp;$A82,'Invulblad NWB'!$CI$15:$CI$25)/SUMIF('Invulblad NWB'!$AD$15:$AD$25,"verkoop"&amp;$A82,'Invulblad NWB'!$CB$15:$CB$25))</f>
        <v>-</v>
      </c>
      <c r="AE82"/>
      <c r="AG82" s="3"/>
    </row>
    <row r="83" spans="1:33" x14ac:dyDescent="0.2">
      <c r="A83" s="33" t="str">
        <f>hulp!L11</f>
        <v>Fietsparkeren gemengd</v>
      </c>
      <c r="B83" s="225">
        <f>SUMIF('Invulblad NWB'!$AD$15:$AD$25,"verkoop"&amp;$A83,'Invulblad NWB'!$BX$15:$BX$25)</f>
        <v>0</v>
      </c>
      <c r="C83" s="226">
        <f>IF($B83=0,0,D83/$B83)</f>
        <v>0</v>
      </c>
      <c r="D83" s="225">
        <f>SUMIF('Invulblad NWB'!$AD$15:$AD$25,"verkoop"&amp;$A83,'Invulblad NWB'!$BY$15:$BY$25)</f>
        <v>0</v>
      </c>
      <c r="E83" s="98"/>
      <c r="F83" s="223">
        <f>IF(B83=0,0,SUMIF('Invulblad NWB'!$AD$15:$AD$25,"verkoop"&amp;$A83,'Invulblad NWB'!$CB$15:$CB$25)*1.21/B83)</f>
        <v>0</v>
      </c>
      <c r="G83" s="223">
        <f>F83/1.21</f>
        <v>0</v>
      </c>
      <c r="H83" s="223">
        <f>IF(B83=0,0,SUMIF('Invulblad NWB'!$AD$15:$AD$25,"verkoop"&amp;$A83,'Invulblad NWB'!$CI$15:$CI$25)/$B83)</f>
        <v>0</v>
      </c>
      <c r="I83" s="223">
        <f>IF(B83=0,0,SUMIF('Invulblad NWB'!$AD$15:$AD$25,"verkoop"&amp;$A83,'Invulblad NWB'!$CJ$15:$CJ$25)/$B83)</f>
        <v>0</v>
      </c>
      <c r="J83" s="223">
        <f>IF(D83=0,0,H83/D83)</f>
        <v>0</v>
      </c>
      <c r="K83" s="223"/>
      <c r="L83" s="223">
        <f>IF(D83=0,0,I83/D83)</f>
        <v>0</v>
      </c>
      <c r="N83" s="223"/>
      <c r="O83" s="223" t="str">
        <f>IF($B83=0,"-",SUMIF('Invulblad NWB'!$AD$15:$AD$25,"verkoop"&amp;$A83,'Invulblad NWB'!$CC$15:$CC$25)/$D83)</f>
        <v>-</v>
      </c>
      <c r="P83" s="223" t="str">
        <f>IF($B83=0,"-",SUMIF('Invulblad NWB'!$AD$15:$AD$25,"verkoop"&amp;$A83,'Invulblad NWB'!$CE$15:$CE$25)/$D83)</f>
        <v>-</v>
      </c>
      <c r="Q83" s="12" t="str">
        <f>IF($B83=0,"-",SUMIF('Invulblad NWB'!$AD$15:$AD$25,"verkoop"&amp;$A83,'Invulblad NWB'!$CE$15:$CE$25)/SUMIF('Invulblad NWB'!$AD$15:$AD$25,"verkoop"&amp;$A83,'Invulblad NWB'!$CC$15:$CC$25))</f>
        <v>-</v>
      </c>
      <c r="R83" s="12" t="str">
        <f>IF($B83=0,"-",SUMIF('Invulblad NWB'!$AD$15:$AD$25,"verkoop"&amp;$A83,'Invulblad NWB'!$CE$15:$CE$25)/SUMIF('Invulblad NWB'!$AD$15:$AD$25,"verkoop"&amp;$A83,'Invulblad NWB'!$CB$15:$CB$25))</f>
        <v>-</v>
      </c>
      <c r="S83" s="223" t="str">
        <f>IF($B83=0,"-",SUMIF('Invulblad NWB'!$AD$15:$AD$25,"verkoop"&amp;$A83,'Invulblad NWB'!$CF$15:$CF$25)/$D83)</f>
        <v>-</v>
      </c>
      <c r="T83" s="12" t="str">
        <f>IF($B83=0,"-",SUMIF('Invulblad NWB'!$AD$15:$AD$25,"verkoop"&amp;$A83,'Invulblad NWB'!$CF$15:$CF$25)/SUMIF('Invulblad NWB'!$AD$15:$AD$25,"verkoop"&amp;$A83,'Invulblad NWB'!$CC$15:$CC$25))</f>
        <v>-</v>
      </c>
      <c r="U83" s="12" t="str">
        <f>IF($B83=0,"-",SUMIF('Invulblad NWB'!$AD$15:$AD$25,"verkoop"&amp;$A83,'Invulblad NWB'!$CF$15:$CF$25)/SUMIF('Invulblad NWB'!$AD$15:$AD$25,"verkoop"&amp;$A83,'Invulblad NWB'!$CB$15:$CB$25))</f>
        <v>-</v>
      </c>
      <c r="V83" s="223" t="str">
        <f>IF($B83=0,"-",SUMIF('Invulblad NWB'!$AD$15:$AD$25,"verkoop"&amp;$A83,'Invulblad NWB'!$CG$15:$CG$25)/$D83)</f>
        <v>-</v>
      </c>
      <c r="W83" s="12" t="str">
        <f>IF($B83=0,"-",SUMIF('Invulblad NWB'!$AD$15:$AD$25,"verkoop"&amp;$A83,'Invulblad NWB'!$CG$15:$CG$25)/SUMIF('Invulblad NWB'!$AD$15:$AD$25,"verkoop"&amp;$A83,'Invulblad NWB'!$CC$15:$CC$25))</f>
        <v>-</v>
      </c>
      <c r="X83" s="12" t="str">
        <f>IF($B83=0,"-",SUMIF('Invulblad NWB'!$AD$15:$AD$25,"verkoop"&amp;$A83,'Invulblad NWB'!$CG$15:$CG$25)/SUMIF('Invulblad NWB'!$AD$15:$AD$25,"verkoop"&amp;$A83,'Invulblad NWB'!$CB$15:$CB$25))</f>
        <v>-</v>
      </c>
      <c r="Y83" s="223" t="str">
        <f>IF($B83=0,"-",SUMIF('Invulblad NWB'!$AD$15:$AD$25,"verkoop"&amp;$A83,'Invulblad NWB'!$CH$15:$CH$25)/$D83)</f>
        <v>-</v>
      </c>
      <c r="Z83" s="12" t="str">
        <f>IF($B83=0,"-",SUMIF('Invulblad NWB'!$AD$15:$AD$25,"verkoop"&amp;$A83,'Invulblad NWB'!$CH$15:$CH$25)/SUMIF('Invulblad NWB'!$AD$15:$AD$25,"verkoop"&amp;$A83,'Invulblad NWB'!$CC$15:$CC$25))</f>
        <v>-</v>
      </c>
      <c r="AA83" s="12" t="str">
        <f>IF($B83=0,"-",SUMIF('Invulblad NWB'!$AD$15:$AD$25,"verkoop"&amp;$A83,'Invulblad NWB'!$CH$15:$CH$25)/SUMIF('Invulblad NWB'!$AD$15:$AD$25,"verkoop"&amp;$A83,'Invulblad NWB'!$CB$15:$CB$25))</f>
        <v>-</v>
      </c>
      <c r="AB83" s="223" t="str">
        <f>IF($B83=0,"-",SUMIF('Invulblad NWB'!$AD$15:$AD$25,"verkoop"&amp;$A83,'Invulblad NWB'!$CI$15:$CI$25)/$D83)</f>
        <v>-</v>
      </c>
      <c r="AC83" s="12" t="str">
        <f>IF($B83=0,"-",SUMIF('Invulblad NWB'!$AD$15:$AD$25,"verkoop"&amp;$A83,'Invulblad NWB'!$CI$15:$CI$25)/SUMIF('Invulblad NWB'!$AD$15:$AD$25,"verkoop"&amp;$A83,'Invulblad NWB'!$CC$15:$CC$25))</f>
        <v>-</v>
      </c>
      <c r="AD83" s="12" t="str">
        <f>IF($B83=0,"-",SUMIF('Invulblad NWB'!$AD$15:$AD$25,"verkoop"&amp;$A83,'Invulblad NWB'!$CI$15:$CI$25)/SUMIF('Invulblad NWB'!$AD$15:$AD$25,"verkoop"&amp;$A83,'Invulblad NWB'!$CB$15:$CB$25))</f>
        <v>-</v>
      </c>
      <c r="AE83"/>
      <c r="AG83" s="3"/>
    </row>
    <row r="84" spans="1:33" ht="16" thickBot="1" x14ac:dyDescent="0.25">
      <c r="A84" s="36" t="str">
        <f>hulp!L12</f>
        <v>Fietsparkeren maaiveld</v>
      </c>
      <c r="B84" s="222">
        <f>SUMIF('Invulblad NWB'!$AD$15:$AD$25,"verkoop"&amp;$A84,'Invulblad NWB'!$BX$15:$BX$25)</f>
        <v>0</v>
      </c>
      <c r="C84" s="221">
        <f>IF($B84=0,0,D84/$B84)</f>
        <v>0</v>
      </c>
      <c r="D84" s="220">
        <f>SUMIF('Invulblad NWB'!$AD$15:$AD$25,"verkoop"&amp;$A84,'Invulblad NWB'!$BY$15:$BY$25)</f>
        <v>0</v>
      </c>
      <c r="E84" s="99"/>
      <c r="F84" s="218">
        <f>IF(B84=0,0,SUMIF('Invulblad NWB'!$AD$15:$AD$25,"verkoop"&amp;$A84,'Invulblad NWB'!$CB$15:$CB$25)*1.21/B84)</f>
        <v>0</v>
      </c>
      <c r="G84" s="218">
        <f>F84/1.21</f>
        <v>0</v>
      </c>
      <c r="H84" s="218">
        <f>IF(B84=0,0,SUMIF('Invulblad NWB'!$AD$15:$AD$25,"verkoop"&amp;$A84,'Invulblad NWB'!$CI$15:$CI$25)/$B84)</f>
        <v>0</v>
      </c>
      <c r="I84" s="218">
        <f>IF(B84=0,0,SUMIF('Invulblad NWB'!$AD$15:$AD$25,"verkoop"&amp;$A84,'Invulblad NWB'!$CJ$15:$CJ$25)/$B84)</f>
        <v>0</v>
      </c>
      <c r="J84" s="218">
        <f>IF(D84=0,0,H84/D84)</f>
        <v>0</v>
      </c>
      <c r="K84" s="218"/>
      <c r="L84" s="218">
        <f>IF(D84=0,0,I84/D84)</f>
        <v>0</v>
      </c>
      <c r="N84" s="96"/>
      <c r="O84" s="258" t="str">
        <f>IF($B84=0,"-",SUMIF('Invulblad NWB'!$AD$15:$AD$25,"verkoop"&amp;$A84,'Invulblad NWB'!$CC$15:$CC$25)/$D84)</f>
        <v>-</v>
      </c>
      <c r="P84" s="258" t="str">
        <f>IF($B84=0,"-",SUMIF('Invulblad NWB'!$AD$15:$AD$25,"verkoop"&amp;$A84,'Invulblad NWB'!$CE$15:$CE$25)/$D84)</f>
        <v>-</v>
      </c>
      <c r="Q84" s="257" t="str">
        <f>IF($B84=0,"-",SUMIF('Invulblad NWB'!$AD$15:$AD$25,"verkoop"&amp;$A84,'Invulblad NWB'!$CE$15:$CE$25)/SUMIF('Invulblad NWB'!$AD$15:$AD$25,"verkoop"&amp;$A84,'Invulblad NWB'!$CC$15:$CC$25))</f>
        <v>-</v>
      </c>
      <c r="R84" s="257" t="str">
        <f>IF($B84=0,"-",SUMIF('Invulblad NWB'!$AD$15:$AD$25,"verkoop"&amp;$A84,'Invulblad NWB'!$CE$15:$CE$25)/SUMIF('Invulblad NWB'!$AD$15:$AD$25,"verkoop"&amp;$A84,'Invulblad NWB'!$CB$15:$CB$25))</f>
        <v>-</v>
      </c>
      <c r="S84" s="258" t="str">
        <f>IF($B84=0,"-",SUMIF('Invulblad NWB'!$AD$15:$AD$25,"verkoop"&amp;$A84,'Invulblad NWB'!$CF$15:$CF$25)/$D84)</f>
        <v>-</v>
      </c>
      <c r="T84" s="257" t="str">
        <f>IF($B84=0,"-",SUMIF('Invulblad NWB'!$AD$15:$AD$25,"verkoop"&amp;$A84,'Invulblad NWB'!$CF$15:$CF$25)/SUMIF('Invulblad NWB'!$AD$15:$AD$25,"verkoop"&amp;$A84,'Invulblad NWB'!$CC$15:$CC$25))</f>
        <v>-</v>
      </c>
      <c r="U84" s="257" t="str">
        <f>IF($B84=0,"-",SUMIF('Invulblad NWB'!$AD$15:$AD$25,"verkoop"&amp;$A84,'Invulblad NWB'!$CF$15:$CF$25)/SUMIF('Invulblad NWB'!$AD$15:$AD$25,"verkoop"&amp;$A84,'Invulblad NWB'!$CB$15:$CB$25))</f>
        <v>-</v>
      </c>
      <c r="V84" s="258" t="str">
        <f>IF($B84=0,"-",SUMIF('Invulblad NWB'!$AD$15:$AD$25,"verkoop"&amp;$A84,'Invulblad NWB'!$CG$15:$CG$25)/$D84)</f>
        <v>-</v>
      </c>
      <c r="W84" s="257" t="str">
        <f>IF($B84=0,"-",SUMIF('Invulblad NWB'!$AD$15:$AD$25,"verkoop"&amp;$A84,'Invulblad NWB'!$CG$15:$CG$25)/SUMIF('Invulblad NWB'!$AD$15:$AD$25,"verkoop"&amp;$A84,'Invulblad NWB'!$CC$15:$CC$25))</f>
        <v>-</v>
      </c>
      <c r="X84" s="257" t="str">
        <f>IF($B84=0,"-",SUMIF('Invulblad NWB'!$AD$15:$AD$25,"verkoop"&amp;$A84,'Invulblad NWB'!$CG$15:$CG$25)/SUMIF('Invulblad NWB'!$AD$15:$AD$25,"verkoop"&amp;$A84,'Invulblad NWB'!$CB$15:$CB$25))</f>
        <v>-</v>
      </c>
      <c r="Y84" s="258" t="str">
        <f>IF($B84=0,"-",SUMIF('Invulblad NWB'!$AD$15:$AD$25,"verkoop"&amp;$A84,'Invulblad NWB'!$CH$15:$CH$25)/$D84)</f>
        <v>-</v>
      </c>
      <c r="Z84" s="257" t="str">
        <f>IF($B84=0,"-",SUMIF('Invulblad NWB'!$AD$15:$AD$25,"verkoop"&amp;$A84,'Invulblad NWB'!$CH$15:$CH$25)/SUMIF('Invulblad NWB'!$AD$15:$AD$25,"verkoop"&amp;$A84,'Invulblad NWB'!$CC$15:$CC$25))</f>
        <v>-</v>
      </c>
      <c r="AA84" s="257" t="str">
        <f>IF($B84=0,"-",SUMIF('Invulblad NWB'!$AD$15:$AD$25,"verkoop"&amp;$A84,'Invulblad NWB'!$CH$15:$CH$25)/SUMIF('Invulblad NWB'!$AD$15:$AD$25,"verkoop"&amp;$A84,'Invulblad NWB'!$CB$15:$CB$25))</f>
        <v>-</v>
      </c>
      <c r="AB84" s="258" t="str">
        <f>IF($B84=0,"-",SUMIF('Invulblad NWB'!$AD$15:$AD$25,"verkoop"&amp;$A84,'Invulblad NWB'!$CI$15:$CI$25)/$D84)</f>
        <v>-</v>
      </c>
      <c r="AC84" s="257" t="str">
        <f>IF($B84=0,"-",SUMIF('Invulblad NWB'!$AD$15:$AD$25,"verkoop"&amp;$A84,'Invulblad NWB'!$CI$15:$CI$25)/SUMIF('Invulblad NWB'!$AD$15:$AD$25,"verkoop"&amp;$A84,'Invulblad NWB'!$CC$15:$CC$25))</f>
        <v>-</v>
      </c>
      <c r="AD84" s="257" t="str">
        <f>IF($B84=0,"-",SUMIF('Invulblad NWB'!$AD$15:$AD$25,"verkoop"&amp;$A84,'Invulblad NWB'!$CI$15:$CI$25)/SUMIF('Invulblad NWB'!$AD$15:$AD$25,"verkoop"&amp;$A84,'Invulblad NWB'!$CB$15:$CB$25))</f>
        <v>-</v>
      </c>
      <c r="AE84"/>
      <c r="AG84" s="3"/>
    </row>
    <row r="85" spans="1:33" ht="16" thickTop="1" x14ac:dyDescent="0.2">
      <c r="C85" s="101"/>
      <c r="N85" s="2"/>
      <c r="AE85"/>
      <c r="AG85" s="3"/>
    </row>
    <row r="86" spans="1:33" x14ac:dyDescent="0.2">
      <c r="B86" s="4" t="s">
        <v>259</v>
      </c>
      <c r="C86" s="230"/>
      <c r="D86" s="100"/>
      <c r="F86" s="229"/>
      <c r="G86" s="229"/>
      <c r="H86" s="229"/>
      <c r="I86" s="229"/>
      <c r="J86" s="229"/>
      <c r="K86" s="229"/>
      <c r="L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/>
      <c r="AG86" s="3"/>
    </row>
    <row r="87" spans="1:33" s="56" customFormat="1" x14ac:dyDescent="0.2">
      <c r="A87" s="19" t="s">
        <v>243</v>
      </c>
      <c r="B87" s="228" t="s">
        <v>111</v>
      </c>
      <c r="C87" s="6" t="s">
        <v>112</v>
      </c>
      <c r="D87" s="6" t="s">
        <v>112</v>
      </c>
      <c r="E87" s="6" t="s">
        <v>131</v>
      </c>
      <c r="F87" s="6" t="s">
        <v>37</v>
      </c>
      <c r="G87" s="6" t="s">
        <v>37</v>
      </c>
      <c r="H87" s="6" t="s">
        <v>41</v>
      </c>
      <c r="I87" s="6" t="s">
        <v>216</v>
      </c>
      <c r="J87" s="6" t="s">
        <v>41</v>
      </c>
      <c r="K87" s="6"/>
      <c r="L87" s="6" t="s">
        <v>216</v>
      </c>
      <c r="M87"/>
      <c r="N87" s="6" t="s">
        <v>247</v>
      </c>
      <c r="O87" s="6" t="s">
        <v>44</v>
      </c>
      <c r="P87" s="6" t="s">
        <v>248</v>
      </c>
      <c r="Q87" s="6" t="s">
        <v>248</v>
      </c>
      <c r="R87" s="6" t="s">
        <v>248</v>
      </c>
      <c r="S87" s="6" t="s">
        <v>249</v>
      </c>
      <c r="T87" s="6" t="s">
        <v>249</v>
      </c>
      <c r="U87" s="6" t="s">
        <v>249</v>
      </c>
      <c r="V87" s="6" t="s">
        <v>48</v>
      </c>
      <c r="W87" s="6" t="s">
        <v>48</v>
      </c>
      <c r="X87" s="6" t="s">
        <v>48</v>
      </c>
      <c r="Y87" s="6" t="s">
        <v>49</v>
      </c>
      <c r="Z87" s="6" t="s">
        <v>49</v>
      </c>
      <c r="AA87" s="6" t="s">
        <v>49</v>
      </c>
      <c r="AB87" s="6" t="s">
        <v>41</v>
      </c>
      <c r="AC87" s="6" t="s">
        <v>41</v>
      </c>
      <c r="AD87" s="6" t="s">
        <v>41</v>
      </c>
      <c r="AE87" s="268"/>
      <c r="AF87" s="268"/>
      <c r="AG87" s="4"/>
    </row>
    <row r="88" spans="1:33" s="56" customFormat="1" x14ac:dyDescent="0.2">
      <c r="A88" s="19"/>
      <c r="B88" s="228"/>
      <c r="C88" s="6" t="s">
        <v>260</v>
      </c>
      <c r="D88" s="6"/>
      <c r="E88" s="6" t="s">
        <v>254</v>
      </c>
      <c r="F88" s="6" t="s">
        <v>261</v>
      </c>
      <c r="G88" s="6" t="s">
        <v>261</v>
      </c>
      <c r="H88" s="6" t="s">
        <v>262</v>
      </c>
      <c r="I88" s="6" t="s">
        <v>263</v>
      </c>
      <c r="J88" s="6" t="s">
        <v>219</v>
      </c>
      <c r="K88" s="6"/>
      <c r="L88" s="6" t="s">
        <v>219</v>
      </c>
      <c r="M88"/>
      <c r="N88" s="6" t="s">
        <v>251</v>
      </c>
      <c r="O88" s="6" t="s">
        <v>219</v>
      </c>
      <c r="P88" s="6" t="s">
        <v>219</v>
      </c>
      <c r="Q88" s="6" t="s">
        <v>252</v>
      </c>
      <c r="R88" s="6" t="s">
        <v>253</v>
      </c>
      <c r="S88" s="6" t="s">
        <v>219</v>
      </c>
      <c r="T88" s="6" t="s">
        <v>252</v>
      </c>
      <c r="U88" s="6" t="s">
        <v>253</v>
      </c>
      <c r="V88" s="6" t="s">
        <v>219</v>
      </c>
      <c r="W88" s="6" t="s">
        <v>252</v>
      </c>
      <c r="X88" s="6" t="s">
        <v>253</v>
      </c>
      <c r="Y88" s="6" t="s">
        <v>219</v>
      </c>
      <c r="Z88" s="6" t="s">
        <v>252</v>
      </c>
      <c r="AA88" s="6" t="s">
        <v>253</v>
      </c>
      <c r="AB88" s="6" t="s">
        <v>219</v>
      </c>
      <c r="AC88" s="6" t="s">
        <v>252</v>
      </c>
      <c r="AD88" s="6" t="s">
        <v>253</v>
      </c>
      <c r="AE88" s="268"/>
      <c r="AF88" s="268"/>
      <c r="AG88" s="4"/>
    </row>
    <row r="89" spans="1:33" s="56" customFormat="1" x14ac:dyDescent="0.2">
      <c r="A89" s="20" t="s">
        <v>126</v>
      </c>
      <c r="B89" s="227"/>
      <c r="C89" s="8"/>
      <c r="D89" s="8"/>
      <c r="E89" s="8"/>
      <c r="F89" s="8" t="s">
        <v>254</v>
      </c>
      <c r="G89" s="8" t="s">
        <v>255</v>
      </c>
      <c r="H89" s="8" t="s">
        <v>264</v>
      </c>
      <c r="I89" s="8" t="s">
        <v>255</v>
      </c>
      <c r="J89" s="8"/>
      <c r="K89" s="8"/>
      <c r="L89" s="8" t="s">
        <v>255</v>
      </c>
      <c r="M89"/>
      <c r="N89" s="8" t="s">
        <v>256</v>
      </c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268"/>
      <c r="AF89" s="268"/>
      <c r="AG89" s="4"/>
    </row>
    <row r="90" spans="1:33" x14ac:dyDescent="0.2">
      <c r="A90" s="33" t="str">
        <f>hulp!L9</f>
        <v>Fietsparkeren ondergronds</v>
      </c>
      <c r="B90" s="225">
        <f>SUMIF('Invulblad NWB'!$AD$15:$AD$25,"verhuur"&amp;$A90,'Invulblad NWB'!$BI$15:$BI$25)</f>
        <v>0</v>
      </c>
      <c r="C90" s="226">
        <f>IF($B90=0,0,D90/$B90)</f>
        <v>0</v>
      </c>
      <c r="D90" s="225">
        <f>SUMIF('Invulblad NWB'!$AD$15:$AD$25,"verhuur"&amp;$A90,'Invulblad NWB'!$BJ$15:$BJ$25)</f>
        <v>0</v>
      </c>
      <c r="E90" s="224" t="str">
        <f>IF(B90=0,"-",SUMIF('Invulblad NWB'!$AD$15:$AD$25,"verhuur"&amp;$A90,'Invulblad NWB'!$BL$15:$BL$25)/B90)</f>
        <v>-</v>
      </c>
      <c r="F90" s="223">
        <f>IF(B90=0,0,SUMIF('Invulblad NWB'!$AD$15:$AD$25,"verhuur"&amp;$A90,'Invulblad NWB'!$BN$15:$BN$25)*1.21/B90)</f>
        <v>0</v>
      </c>
      <c r="G90" s="223">
        <f>F90/1.21</f>
        <v>0</v>
      </c>
      <c r="H90" s="223">
        <f>IF(B90=0,0,SUMIF('Invulblad NWB'!$AD$15:$AD$25,"verhuur"&amp;$A90,'Invulblad NWB'!$BU$15:$BU$25)/$B90)</f>
        <v>0</v>
      </c>
      <c r="I90" s="223">
        <f>IF(B90=0,0,SUMIF('Invulblad NWB'!$AD$15:$AD$25,"verhuur"&amp;$A90,'Invulblad NWB'!$BV$15:$BV$25)/$B90)</f>
        <v>0</v>
      </c>
      <c r="J90" s="223">
        <f>IF(D90=0,0,H90/D90)</f>
        <v>0</v>
      </c>
      <c r="K90" s="223"/>
      <c r="L90" s="223">
        <f>IF(D90=0,0,I90/D90)</f>
        <v>0</v>
      </c>
      <c r="N90" s="12" t="str">
        <f>(IF(SUMIF('Invulblad NWB'!$AD$15:$AD$25,"verhuur"&amp;$A90,'Invulblad NWB'!$BM$15:$BM$25)=0,"-",1/(SUMIF('Invulblad NWB'!$AD$15:$AD$25,"verhuur"&amp;$A90,'Invulblad NWB'!$BN$15:$BN$25)*1.21/SUMIF('Invulblad NWB'!$AD$15:$AD$25,"verhuur"&amp;$A90,'Invulblad NWB'!$BM$15:$BM$25))))</f>
        <v>-</v>
      </c>
      <c r="O90" s="223" t="str">
        <f>IF($B90=0,"-",SUMIF('Invulblad NWB'!$AD$15:$AD$25,"verhuur"&amp;$A90,'Invulblad NWB'!$BO$15:$BO$25)/$D90)</f>
        <v>-</v>
      </c>
      <c r="P90" s="223" t="str">
        <f>IF($B90=0,"-",SUMIF('Invulblad NWB'!$AD$15:$AD$25,"verhuur"&amp;$A90,'Invulblad NWB'!$BQ$15:$BQ$25)/$D90)</f>
        <v>-</v>
      </c>
      <c r="Q90" s="256" t="str">
        <f>IF($B90=0,"-",SUMIF('Invulblad NWB'!$AD$15:$AD$25,"verhuur"&amp;$A90,'Invulblad NWB'!$BQ$15:$BQ$25)/SUMIF('Invulblad NWB'!$AD$15:$AD$25,"verhuur"&amp;$A90,'Invulblad NWB'!$BO$15:$BO$25))</f>
        <v>-</v>
      </c>
      <c r="R90" s="12" t="str">
        <f>IF($B90=0,"-",SUMIF('Invulblad NWB'!$AD$15:$AD$25,"verhuur"&amp;$A90,'Invulblad NWB'!$BQ$15:$BQ$25)/(SUMIF('Invulblad NWB'!$AD$15:$AD$25,"verhuur"&amp;$A90,'Invulblad NWB'!$BN$15:$BN$25)))</f>
        <v>-</v>
      </c>
      <c r="S90" s="223" t="str">
        <f>IF($B90=0,"-",SUMIF('Invulblad NWB'!$AD$15:$AD$25,"verhuur"&amp;$A90,'Invulblad NWB'!$BR$15:$BR$25)/$D90)</f>
        <v>-</v>
      </c>
      <c r="T90" s="295" t="str">
        <f>IF($B90=0,"-",SUMIF('Invulblad NWB'!$AD$15:$AD$25,"verhuur"&amp;$A90,'Invulblad NWB'!$BR$15:$BR$25)/SUMIF('Invulblad NWB'!$AD$15:$AD$25,"verhuur"&amp;$A90,'Invulblad NWB'!$BO$15:$BO$25))</f>
        <v>-</v>
      </c>
      <c r="U90" s="295" t="str">
        <f>IF($B90=0,"-",SUMIF('Invulblad NWB'!$AD$15:$AD$25,"verhuur"&amp;$A90,'Invulblad NWB'!$BR$15:$BR$25)/SUMIF('Invulblad NWB'!$AD$15:$AD$25,"verhuur"&amp;$A90,'Invulblad NWB'!$BN$15:$BN$25))</f>
        <v>-</v>
      </c>
      <c r="V90" s="223" t="str">
        <f>IF($B90=0,"-",SUMIF('Invulblad NWB'!$AD$15:$AD$25,"verhuur"&amp;$A90,'Invulblad NWB'!$BS$15:$BS$25)/$D90)</f>
        <v>-</v>
      </c>
      <c r="W90" s="256" t="str">
        <f>IF($B90=0,"-",SUMIF('Invulblad NWB'!$AD$15:$AD$25,"verhuur"&amp;$A90,'Invulblad NWB'!$BS$15:$BS$25)/SUMIF('Invulblad NWB'!$AD$15:$AD$25,"verhuur"&amp;$A90,'Invulblad NWB'!$BO$15:$BO$25))</f>
        <v>-</v>
      </c>
      <c r="X90" s="256" t="str">
        <f>IF($B90=0,"-",SUMIF('Invulblad NWB'!$AD$15:$AD$25,"verhuur"&amp;$A90,'Invulblad NWB'!$BS$15:$BS$25)/SUMIF('Invulblad NWB'!$AD$15:$AD$25,"verhuur"&amp;$A90,'Invulblad NWB'!$BN$15:$BN$25))</f>
        <v>-</v>
      </c>
      <c r="Y90" s="223" t="str">
        <f>IF($B90=0,"-",SUMIF('Invulblad NWB'!$AD$15:$AD$25,"verhuur"&amp;$A90,'Invulblad NWB'!$BT$15:$BT$25)/$D90)</f>
        <v>-</v>
      </c>
      <c r="Z90" s="256" t="str">
        <f>IF($B90=0,"-",SUMIF('Invulblad NWB'!$AD$15:$AD$25,"verhuur"&amp;$A90,'Invulblad NWB'!$BT$15:$BT$25)/SUMIF('Invulblad NWB'!$AD$15:$AD$25,"verhuur"&amp;$A90,'Invulblad NWB'!$BO$15:$BO$25))</f>
        <v>-</v>
      </c>
      <c r="AA90" s="256" t="str">
        <f>IF($B90=0,"-",SUMIF('Invulblad NWB'!$AD$15:$AD$25,"verhuur"&amp;$A90,'Invulblad NWB'!$BT$15:$BT$25)/SUMIF('Invulblad NWB'!$AD$15:$AD$25,"verhuur"&amp;$A90,'Invulblad NWB'!$BN$15:$BN$25))</f>
        <v>-</v>
      </c>
      <c r="AB90" s="223" t="str">
        <f>IF($B90=0,"-",SUMIF('Invulblad NWB'!$AD$15:$AD$25,"verhuur"&amp;$A90,'Invulblad NWB'!$BU$15:$BU$25)/$D90)</f>
        <v>-</v>
      </c>
      <c r="AC90" s="256" t="str">
        <f>IF($B90=0,"-",SUMIF('Invulblad NWB'!$AD$15:$AD$25,"verhuur"&amp;$A90,'Invulblad NWB'!$BU$15:$BU$25)/SUMIF('Invulblad NWB'!$AD$15:$AD$25,"verhuur"&amp;$A90,'Invulblad NWB'!$BO$15:$BO$25))</f>
        <v>-</v>
      </c>
      <c r="AD90" s="256" t="str">
        <f>IF($B90=0,"-",SUMIF('Invulblad NWB'!$AD$15:$AD$25,"verhuur"&amp;$A90,'Invulblad NWB'!$BU$15:$BU$25)/SUMIF('Invulblad NWB'!$AD$15:$AD$25,"verhuur"&amp;$A90,'Invulblad NWB'!$BN$15:$BN$25))</f>
        <v>-</v>
      </c>
      <c r="AE90"/>
      <c r="AG90" s="3"/>
    </row>
    <row r="91" spans="1:33" x14ac:dyDescent="0.2">
      <c r="A91" s="33" t="str">
        <f>hulp!L10</f>
        <v>Fietsparkeren bovengronds</v>
      </c>
      <c r="B91" s="225">
        <f>SUMIF('Invulblad NWB'!$AD$15:$AD$25,"verhuur"&amp;$A91,'Invulblad NWB'!$BI$15:$BI$25)</f>
        <v>0</v>
      </c>
      <c r="C91" s="226">
        <f>IF($B91=0,0,D91/$B91)</f>
        <v>0</v>
      </c>
      <c r="D91" s="225">
        <f>SUMIF('Invulblad NWB'!$AD$15:$AD$25,"verhuur"&amp;$A91,'Invulblad NWB'!$BJ$15:$BJ$25)</f>
        <v>0</v>
      </c>
      <c r="E91" s="224" t="str">
        <f>IF(B91=0,"-",SUMIF('Invulblad NWB'!$AD$15:$AD$25,"verhuur"&amp;$A91,'Invulblad NWB'!$BL$15:$BL$25)/B91)</f>
        <v>-</v>
      </c>
      <c r="F91" s="223">
        <f>IF(B91=0,0,SUMIF('Invulblad NWB'!$AD$15:$AD$25,"verhuur"&amp;$A91,'Invulblad NWB'!$BN$15:$BN$25)*1.21/B91)</f>
        <v>0</v>
      </c>
      <c r="G91" s="223">
        <f>F91/1.21</f>
        <v>0</v>
      </c>
      <c r="H91" s="223">
        <f>IF(B91=0,0,SUMIF('Invulblad NWB'!$AD$15:$AD$25,"verhuur"&amp;$A91,'Invulblad NWB'!$BU$15:$BU$25)/$B91)</f>
        <v>0</v>
      </c>
      <c r="I91" s="223">
        <f>IF(B91=0,0,SUMIF('Invulblad NWB'!$AD$15:$AD$25,"verhuur"&amp;$A91,'Invulblad NWB'!$BV$15:$BV$25)/$B91)</f>
        <v>0</v>
      </c>
      <c r="J91" s="223">
        <f>IF(D91=0,0,H91/D91)</f>
        <v>0</v>
      </c>
      <c r="K91" s="223"/>
      <c r="L91" s="223">
        <f>IF(D91=0,0,I91/D91)</f>
        <v>0</v>
      </c>
      <c r="N91" s="12" t="str">
        <f>(IF(SUMIF('Invulblad NWB'!$AD$15:$AD$25,"verhuur"&amp;$A91,'Invulblad NWB'!$BM$15:$BM$25)=0,"-",1/(SUMIF('Invulblad NWB'!$AD$15:$AD$25,"verhuur"&amp;$A91,'Invulblad NWB'!$BN$15:$BN$25)*1.21/SUMIF('Invulblad NWB'!$AD$15:$AD$25,"verhuur"&amp;$A91,'Invulblad NWB'!$BM$15:$BM$25))))</f>
        <v>-</v>
      </c>
      <c r="O91" s="223" t="str">
        <f>IF($B91=0,"-",SUMIF('Invulblad NWB'!$AD$15:$AD$25,"verhuur"&amp;$A91,'Invulblad NWB'!$BO$15:$BO$25)/$D91)</f>
        <v>-</v>
      </c>
      <c r="P91" s="223" t="str">
        <f>IF($B91=0,"-",SUMIF('Invulblad NWB'!$AD$15:$AD$25,"verhuur"&amp;$A91,'Invulblad NWB'!$BQ$15:$BQ$25)/$D91)</f>
        <v>-</v>
      </c>
      <c r="Q91" s="256" t="str">
        <f>IF($B91=0,"-",SUMIF('Invulblad NWB'!$AD$15:$AD$25,"verhuur"&amp;$A91,'Invulblad NWB'!$BQ$15:$BQ$25)/SUMIF('Invulblad NWB'!$AD$15:$AD$25,"verhuur"&amp;$A91,'Invulblad NWB'!$BO$15:$BO$25))</f>
        <v>-</v>
      </c>
      <c r="R91" s="12" t="str">
        <f>IF($B91=0,"-",SUMIF('Invulblad NWB'!$AD$15:$AD$25,"verhuur"&amp;$A91,'Invulblad NWB'!$BQ$15:$BQ$25)/(SUMIF('Invulblad NWB'!$AD$15:$AD$25,"verhuur"&amp;$A91,'Invulblad NWB'!$BN$15:$BN$25)))</f>
        <v>-</v>
      </c>
      <c r="S91" s="223" t="str">
        <f>IF($B91=0,"-",SUMIF('Invulblad NWB'!$AD$15:$AD$25,"verhuur"&amp;$A91,'Invulblad NWB'!$BR$15:$BR$25)/$D91)</f>
        <v>-</v>
      </c>
      <c r="T91" s="295" t="str">
        <f>IF($B91=0,"-",SUMIF('Invulblad NWB'!$AD$15:$AD$25,"verhuur"&amp;$A91,'Invulblad NWB'!$BR$15:$BR$25)/SUMIF('Invulblad NWB'!$AD$15:$AD$25,"verhuur"&amp;$A91,'Invulblad NWB'!$BO$15:$BO$25))</f>
        <v>-</v>
      </c>
      <c r="U91" s="295" t="str">
        <f>IF($B91=0,"-",SUMIF('Invulblad NWB'!$AD$15:$AD$25,"verhuur"&amp;$A91,'Invulblad NWB'!$BR$15:$BR$25)/SUMIF('Invulblad NWB'!$AD$15:$AD$25,"verhuur"&amp;$A91,'Invulblad NWB'!$BN$15:$BN$25))</f>
        <v>-</v>
      </c>
      <c r="V91" s="223" t="str">
        <f>IF($B91=0,"-",SUMIF('Invulblad NWB'!$AD$15:$AD$25,"verhuur"&amp;$A91,'Invulblad NWB'!$BS$15:$BS$25)/$D91)</f>
        <v>-</v>
      </c>
      <c r="W91" s="256" t="str">
        <f>IF($B91=0,"-",SUMIF('Invulblad NWB'!$AD$15:$AD$25,"verhuur"&amp;$A91,'Invulblad NWB'!$BS$15:$BS$25)/SUMIF('Invulblad NWB'!$AD$15:$AD$25,"verhuur"&amp;$A91,'Invulblad NWB'!$BO$15:$BO$25))</f>
        <v>-</v>
      </c>
      <c r="X91" s="256" t="str">
        <f>IF($B91=0,"-",SUMIF('Invulblad NWB'!$AD$15:$AD$25,"verhuur"&amp;$A91,'Invulblad NWB'!$BS$15:$BS$25)/SUMIF('Invulblad NWB'!$AD$15:$AD$25,"verhuur"&amp;$A91,'Invulblad NWB'!$BN$15:$BN$25))</f>
        <v>-</v>
      </c>
      <c r="Y91" s="223" t="str">
        <f>IF($B91=0,"-",SUMIF('Invulblad NWB'!$AD$15:$AD$25,"verhuur"&amp;$A91,'Invulblad NWB'!$BT$15:$BT$25)/$D91)</f>
        <v>-</v>
      </c>
      <c r="Z91" s="256" t="str">
        <f>IF($B91=0,"-",SUMIF('Invulblad NWB'!$AD$15:$AD$25,"verhuur"&amp;$A91,'Invulblad NWB'!$BT$15:$BT$25)/SUMIF('Invulblad NWB'!$AD$15:$AD$25,"verhuur"&amp;$A91,'Invulblad NWB'!$BO$15:$BO$25))</f>
        <v>-</v>
      </c>
      <c r="AA91" s="256" t="str">
        <f>IF($B91=0,"-",SUMIF('Invulblad NWB'!$AD$15:$AD$25,"verhuur"&amp;$A91,'Invulblad NWB'!$BT$15:$BT$25)/SUMIF('Invulblad NWB'!$AD$15:$AD$25,"verhuur"&amp;$A91,'Invulblad NWB'!$BN$15:$BN$25))</f>
        <v>-</v>
      </c>
      <c r="AB91" s="223" t="str">
        <f>IF($B91=0,"-",SUMIF('Invulblad NWB'!$AD$15:$AD$25,"verhuur"&amp;$A91,'Invulblad NWB'!$BU$15:$BU$25)/$D91)</f>
        <v>-</v>
      </c>
      <c r="AC91" s="256" t="str">
        <f>IF($B91=0,"-",SUMIF('Invulblad NWB'!$AD$15:$AD$25,"verhuur"&amp;$A91,'Invulblad NWB'!$BU$15:$BU$25)/SUMIF('Invulblad NWB'!$AD$15:$AD$25,"verhuur"&amp;$A91,'Invulblad NWB'!$BO$15:$BO$25))</f>
        <v>-</v>
      </c>
      <c r="AD91" s="256" t="str">
        <f>IF($B91=0,"-",SUMIF('Invulblad NWB'!$AD$15:$AD$25,"verhuur"&amp;$A91,'Invulblad NWB'!$BU$15:$BU$25)/SUMIF('Invulblad NWB'!$AD$15:$AD$25,"verhuur"&amp;$A91,'Invulblad NWB'!$BN$15:$BN$25))</f>
        <v>-</v>
      </c>
      <c r="AE91"/>
      <c r="AG91" s="3"/>
    </row>
    <row r="92" spans="1:33" x14ac:dyDescent="0.2">
      <c r="A92" s="33" t="str">
        <f>hulp!L11</f>
        <v>Fietsparkeren gemengd</v>
      </c>
      <c r="B92" s="225">
        <f>SUMIF('Invulblad NWB'!$AD$15:$AD$25,"verhuur"&amp;$A92,'Invulblad NWB'!$BI$15:$BI$25)</f>
        <v>0</v>
      </c>
      <c r="C92" s="226">
        <f>IF($B92=0,0,D92/$B92)</f>
        <v>0</v>
      </c>
      <c r="D92" s="225">
        <f>SUMIF('Invulblad NWB'!$AD$15:$AD$25,"verhuur"&amp;$A92,'Invulblad NWB'!$BJ$15:$BJ$25)</f>
        <v>0</v>
      </c>
      <c r="E92" s="224" t="str">
        <f>IF(B92=0,"-",SUMIF('Invulblad NWB'!$AD$15:$AD$25,"verhuur"&amp;$A92,'Invulblad NWB'!$BL$15:$BL$25)/B92)</f>
        <v>-</v>
      </c>
      <c r="F92" s="223">
        <f>IF(B92=0,0,SUMIF('Invulblad NWB'!$AD$15:$AD$25,"verhuur"&amp;$A92,'Invulblad NWB'!$BN$15:$BN$25)*1.21/B92)</f>
        <v>0</v>
      </c>
      <c r="G92" s="223">
        <f>F92/1.21</f>
        <v>0</v>
      </c>
      <c r="H92" s="223">
        <f>IF(B92=0,0,SUMIF('Invulblad NWB'!$AD$15:$AD$25,"verhuur"&amp;$A92,'Invulblad NWB'!$BU$15:$BU$25)/$B92)</f>
        <v>0</v>
      </c>
      <c r="I92" s="223">
        <f>IF(B92=0,0,SUMIF('Invulblad NWB'!$AD$15:$AD$25,"verhuur"&amp;$A92,'Invulblad NWB'!$BV$15:$BV$25)/$B92)</f>
        <v>0</v>
      </c>
      <c r="J92" s="223">
        <f>IF(D92=0,0,H92/D92)</f>
        <v>0</v>
      </c>
      <c r="K92" s="223"/>
      <c r="L92" s="223">
        <f>IF(D92=0,0,I92/D92)</f>
        <v>0</v>
      </c>
      <c r="N92" s="12" t="str">
        <f>(IF(SUMIF('Invulblad NWB'!$AD$15:$AD$25,"verhuur"&amp;$A92,'Invulblad NWB'!$BM$15:$BM$25)=0,"-",1/(SUMIF('Invulblad NWB'!$AD$15:$AD$25,"verhuur"&amp;$A92,'Invulblad NWB'!$BN$15:$BN$25)*1.21/SUMIF('Invulblad NWB'!$AD$15:$AD$25,"verhuur"&amp;$A92,'Invulblad NWB'!$BM$15:$BM$25))))</f>
        <v>-</v>
      </c>
      <c r="O92" s="223" t="str">
        <f>IF($B92=0,"-",SUMIF('Invulblad NWB'!$AD$15:$AD$25,"verhuur"&amp;$A92,'Invulblad NWB'!$BO$15:$BO$25)/$D92)</f>
        <v>-</v>
      </c>
      <c r="P92" s="223" t="str">
        <f>IF($B92=0,"-",SUMIF('Invulblad NWB'!$AD$15:$AD$25,"verhuur"&amp;$A92,'Invulblad NWB'!$BQ$15:$BQ$25)/$D92)</f>
        <v>-</v>
      </c>
      <c r="Q92" s="256" t="str">
        <f>IF($B92=0,"-",SUMIF('Invulblad NWB'!$AD$15:$AD$25,"verhuur"&amp;$A92,'Invulblad NWB'!$BQ$15:$BQ$25)/SUMIF('Invulblad NWB'!$AD$15:$AD$25,"verhuur"&amp;$A92,'Invulblad NWB'!$BO$15:$BO$25))</f>
        <v>-</v>
      </c>
      <c r="R92" s="12" t="str">
        <f>IF($B92=0,"-",SUMIF('Invulblad NWB'!$AD$15:$AD$25,"verhuur"&amp;$A92,'Invulblad NWB'!$BQ$15:$BQ$25)/(SUMIF('Invulblad NWB'!$AD$15:$AD$25,"verhuur"&amp;$A92,'Invulblad NWB'!$BN$15:$BN$25)))</f>
        <v>-</v>
      </c>
      <c r="S92" s="223" t="str">
        <f>IF($B92=0,"-",SUMIF('Invulblad NWB'!$AD$15:$AD$25,"verhuur"&amp;$A92,'Invulblad NWB'!$BR$15:$BR$25)/$D92)</f>
        <v>-</v>
      </c>
      <c r="T92" s="295" t="str">
        <f>IF($B92=0,"-",SUMIF('Invulblad NWB'!$AD$15:$AD$25,"verhuur"&amp;$A92,'Invulblad NWB'!$BR$15:$BR$25)/SUMIF('Invulblad NWB'!$AD$15:$AD$25,"verhuur"&amp;$A92,'Invulblad NWB'!$BO$15:$BO$25))</f>
        <v>-</v>
      </c>
      <c r="U92" s="295" t="str">
        <f>IF($B92=0,"-",SUMIF('Invulblad NWB'!$AD$15:$AD$25,"verhuur"&amp;$A92,'Invulblad NWB'!$BR$15:$BR$25)/SUMIF('Invulblad NWB'!$AD$15:$AD$25,"verhuur"&amp;$A92,'Invulblad NWB'!$BN$15:$BN$25))</f>
        <v>-</v>
      </c>
      <c r="V92" s="223" t="str">
        <f>IF($B92=0,"-",SUMIF('Invulblad NWB'!$AD$15:$AD$25,"verhuur"&amp;$A92,'Invulblad NWB'!$BS$15:$BS$25)/$D92)</f>
        <v>-</v>
      </c>
      <c r="W92" s="256" t="str">
        <f>IF($B92=0,"-",SUMIF('Invulblad NWB'!$AD$15:$AD$25,"verhuur"&amp;$A92,'Invulblad NWB'!$BS$15:$BS$25)/SUMIF('Invulblad NWB'!$AD$15:$AD$25,"verhuur"&amp;$A92,'Invulblad NWB'!$BO$15:$BO$25))</f>
        <v>-</v>
      </c>
      <c r="X92" s="256" t="str">
        <f>IF($B92=0,"-",SUMIF('Invulblad NWB'!$AD$15:$AD$25,"verhuur"&amp;$A92,'Invulblad NWB'!$BS$15:$BS$25)/SUMIF('Invulblad NWB'!$AD$15:$AD$25,"verhuur"&amp;$A92,'Invulblad NWB'!$BN$15:$BN$25))</f>
        <v>-</v>
      </c>
      <c r="Y92" s="223" t="str">
        <f>IF($B92=0,"-",SUMIF('Invulblad NWB'!$AD$15:$AD$25,"verhuur"&amp;$A92,'Invulblad NWB'!$BT$15:$BT$25)/$D92)</f>
        <v>-</v>
      </c>
      <c r="Z92" s="256" t="str">
        <f>IF($B92=0,"-",SUMIF('Invulblad NWB'!$AD$15:$AD$25,"verhuur"&amp;$A92,'Invulblad NWB'!$BT$15:$BT$25)/SUMIF('Invulblad NWB'!$AD$15:$AD$25,"verhuur"&amp;$A92,'Invulblad NWB'!$BO$15:$BO$25))</f>
        <v>-</v>
      </c>
      <c r="AA92" s="256" t="str">
        <f>IF($B92=0,"-",SUMIF('Invulblad NWB'!$AD$15:$AD$25,"verhuur"&amp;$A92,'Invulblad NWB'!$BT$15:$BT$25)/SUMIF('Invulblad NWB'!$AD$15:$AD$25,"verhuur"&amp;$A92,'Invulblad NWB'!$BN$15:$BN$25))</f>
        <v>-</v>
      </c>
      <c r="AB92" s="223" t="str">
        <f>IF($B92=0,"-",SUMIF('Invulblad NWB'!$AD$15:$AD$25,"verhuur"&amp;$A92,'Invulblad NWB'!$BU$15:$BU$25)/$D92)</f>
        <v>-</v>
      </c>
      <c r="AC92" s="256" t="str">
        <f>IF($B92=0,"-",SUMIF('Invulblad NWB'!$AD$15:$AD$25,"verhuur"&amp;$A92,'Invulblad NWB'!$BU$15:$BU$25)/SUMIF('Invulblad NWB'!$AD$15:$AD$25,"verhuur"&amp;$A92,'Invulblad NWB'!$BO$15:$BO$25))</f>
        <v>-</v>
      </c>
      <c r="AD92" s="256" t="str">
        <f>IF($B92=0,"-",SUMIF('Invulblad NWB'!$AD$15:$AD$25,"verhuur"&amp;$A92,'Invulblad NWB'!$BU$15:$BU$25)/SUMIF('Invulblad NWB'!$AD$15:$AD$25,"verhuur"&amp;$A92,'Invulblad NWB'!$BN$15:$BN$25))</f>
        <v>-</v>
      </c>
      <c r="AE92"/>
      <c r="AG92" s="3"/>
    </row>
    <row r="93" spans="1:33" ht="16" thickBot="1" x14ac:dyDescent="0.25">
      <c r="A93" s="36" t="str">
        <f>hulp!L12</f>
        <v>Fietsparkeren maaiveld</v>
      </c>
      <c r="B93" s="222">
        <f>SUMIF('Invulblad NWB'!$AD$15:$AD$25,"verhuur"&amp;$A93,'Invulblad NWB'!$BI$15:$BI$25)</f>
        <v>0</v>
      </c>
      <c r="C93" s="221">
        <f>IF($B93=0,0,D93/$B93)</f>
        <v>0</v>
      </c>
      <c r="D93" s="220">
        <f>SUMIF('Invulblad NWB'!$AD$15:$AD$25,"verhuur"&amp;$A93,'Invulblad NWB'!$BJ$15:$BJ$25)</f>
        <v>0</v>
      </c>
      <c r="E93" s="219" t="str">
        <f>IF(B93=0,"-",SUMIF('Invulblad NWB'!$AD$15:$AD$25,"verhuur"&amp;$A93,'Invulblad NWB'!$BL$15:$BL$25)/B93)</f>
        <v>-</v>
      </c>
      <c r="F93" s="218">
        <f>IF(B93=0,0,SUMIF('Invulblad NWB'!$AD$15:$AD$25,"verhuur"&amp;$A93,'Invulblad NWB'!$BN$15:$BN$25)*1.21/B93)</f>
        <v>0</v>
      </c>
      <c r="G93" s="218">
        <f>F93/1.21</f>
        <v>0</v>
      </c>
      <c r="H93" s="218">
        <f>IF(B93=0,0,SUMIF('Invulblad NWB'!$AD$15:$AD$25,"verhuur"&amp;$A93,'Invulblad NWB'!$BU$15:$BU$25)/$B93)</f>
        <v>0</v>
      </c>
      <c r="I93" s="218">
        <f>IF(B93=0,0,SUMIF('Invulblad NWB'!$AD$15:$AD$25,"verhuur"&amp;$A93,'Invulblad NWB'!$BV$15:$BV$25)/$B93)</f>
        <v>0</v>
      </c>
      <c r="J93" s="218">
        <f>IF(D93=0,0,H93/D93)</f>
        <v>0</v>
      </c>
      <c r="K93" s="218"/>
      <c r="L93" s="218">
        <f>IF(D93=0,0,I93/D93)</f>
        <v>0</v>
      </c>
      <c r="N93" s="257" t="str">
        <f>(IF(SUMIF('Invulblad NWB'!$AD$15:$AD$25,"verhuur"&amp;$A93,'Invulblad NWB'!$BM$15:$BM$25)=0,"-",1/(SUMIF('Invulblad NWB'!$AD$15:$AD$25,"verhuur"&amp;$A93,'Invulblad NWB'!$BN$15:$BN$25)*1.21/SUMIF('Invulblad NWB'!$AD$15:$AD$25,"verhuur"&amp;$A93,'Invulblad NWB'!$BM$15:$BM$25))))</f>
        <v>-</v>
      </c>
      <c r="O93" s="258" t="str">
        <f>IF($B93=0,"-",SUMIF('Invulblad NWB'!$AD$15:$AD$25,"verhuur"&amp;$A93,'Invulblad NWB'!$BO$15:$BO$25)/$D93)</f>
        <v>-</v>
      </c>
      <c r="P93" s="258" t="str">
        <f>IF($B93=0,"-",SUMIF('Invulblad NWB'!$AD$15:$AD$25,"verhuur"&amp;$A93,'Invulblad NWB'!$BQ$15:$BQ$25)/$D93)</f>
        <v>-</v>
      </c>
      <c r="Q93" s="267" t="str">
        <f>IF($B93=0,"-",SUMIF('Invulblad NWB'!$AD$15:$AD$25,"verhuur"&amp;$A93,'Invulblad NWB'!$BQ$15:$BQ$25)/SUMIF('Invulblad NWB'!$AD$15:$AD$25,"verhuur"&amp;$A93,'Invulblad NWB'!$BO$15:$BO$25))</f>
        <v>-</v>
      </c>
      <c r="R93" s="257" t="str">
        <f>IF($B93=0,"-",SUMIF('Invulblad NWB'!$AD$15:$AD$25,"verhuur"&amp;$A93,'Invulblad NWB'!$BQ$15:$BQ$25)/(SUMIF('Invulblad NWB'!$AD$15:$AD$25,"verhuur"&amp;$A93,'Invulblad NWB'!$BN$15:$BN$25)))</f>
        <v>-</v>
      </c>
      <c r="S93" s="258" t="str">
        <f>IF($B93=0,"-",SUMIF('Invulblad NWB'!$AD$15:$AD$25,"verhuur"&amp;$A93,'Invulblad NWB'!$BR$15:$BR$25)/$D93)</f>
        <v>-</v>
      </c>
      <c r="T93" s="296" t="str">
        <f>IF($B93=0,"-",SUMIF('Invulblad NWB'!$AD$15:$AD$25,"verhuur"&amp;$A93,'Invulblad NWB'!$BR$15:$BR$25)/SUMIF('Invulblad NWB'!$AD$15:$AD$25,"verhuur"&amp;$A93,'Invulblad NWB'!$BO$15:$BO$25))</f>
        <v>-</v>
      </c>
      <c r="U93" s="296" t="str">
        <f>IF($B93=0,"-",SUMIF('Invulblad NWB'!$AD$15:$AD$25,"verhuur"&amp;$A93,'Invulblad NWB'!$BR$15:$BR$25)/SUMIF('Invulblad NWB'!$AD$15:$AD$25,"verhuur"&amp;$A93,'Invulblad NWB'!$BN$15:$BN$25))</f>
        <v>-</v>
      </c>
      <c r="V93" s="258" t="str">
        <f>IF($B93=0,"-",SUMIF('Invulblad NWB'!$AD$15:$AD$25,"verhuur"&amp;$A93,'Invulblad NWB'!$BS$15:$BS$25)/$D93)</f>
        <v>-</v>
      </c>
      <c r="W93" s="267" t="str">
        <f>IF($B93=0,"-",SUMIF('Invulblad NWB'!$AD$15:$AD$25,"verhuur"&amp;$A93,'Invulblad NWB'!$BS$15:$BS$25)/SUMIF('Invulblad NWB'!$AD$15:$AD$25,"verhuur"&amp;$A93,'Invulblad NWB'!$BO$15:$BO$25))</f>
        <v>-</v>
      </c>
      <c r="X93" s="267" t="str">
        <f>IF($B93=0,"-",SUMIF('Invulblad NWB'!$AD$15:$AD$25,"verhuur"&amp;$A93,'Invulblad NWB'!$BS$15:$BS$25)/SUMIF('Invulblad NWB'!$AD$15:$AD$25,"verhuur"&amp;$A93,'Invulblad NWB'!$BN$15:$BN$25))</f>
        <v>-</v>
      </c>
      <c r="Y93" s="258" t="str">
        <f>IF($B93=0,"-",SUMIF('Invulblad NWB'!$AD$15:$AD$25,"verhuur"&amp;$A93,'Invulblad NWB'!$BT$15:$BT$25)/$D93)</f>
        <v>-</v>
      </c>
      <c r="Z93" s="267" t="str">
        <f>IF($B93=0,"-",SUMIF('Invulblad NWB'!$AD$15:$AD$25,"verhuur"&amp;$A93,'Invulblad NWB'!$BT$15:$BT$25)/SUMIF('Invulblad NWB'!$AD$15:$AD$25,"verhuur"&amp;$A93,'Invulblad NWB'!$BO$15:$BO$25))</f>
        <v>-</v>
      </c>
      <c r="AA93" s="267" t="str">
        <f>IF($B93=0,"-",SUMIF('Invulblad NWB'!$AD$15:$AD$25,"verhuur"&amp;$A93,'Invulblad NWB'!$BT$15:$BT$25)/SUMIF('Invulblad NWB'!$AD$15:$AD$25,"verhuur"&amp;$A93,'Invulblad NWB'!$BN$15:$BN$25))</f>
        <v>-</v>
      </c>
      <c r="AB93" s="258" t="str">
        <f>IF($B93=0,"-",SUMIF('Invulblad NWB'!$AD$15:$AD$25,"verhuur"&amp;$A93,'Invulblad NWB'!$BU$15:$BU$25)/$D93)</f>
        <v>-</v>
      </c>
      <c r="AC93" s="267" t="str">
        <f>IF($B93=0,"-",SUMIF('Invulblad NWB'!$AD$15:$AD$25,"verhuur"&amp;$A93,'Invulblad NWB'!$BU$15:$BU$25)/SUMIF('Invulblad NWB'!$AD$15:$AD$25,"verhuur"&amp;$A93,'Invulblad NWB'!$BO$15:$BO$25))</f>
        <v>-</v>
      </c>
      <c r="AD93" s="267" t="str">
        <f>IF($B93=0,"-",SUMIF('Invulblad NWB'!$AD$15:$AD$25,"verhuur"&amp;$A93,'Invulblad NWB'!$BU$15:$BU$25)/SUMIF('Invulblad NWB'!$AD$15:$AD$25,"verhuur"&amp;$A93,'Invulblad NWB'!$BN$15:$BN$25))</f>
        <v>-</v>
      </c>
      <c r="AE93"/>
      <c r="AG93" s="3"/>
    </row>
    <row r="94" spans="1:33" ht="16" thickTop="1" x14ac:dyDescent="0.2"/>
  </sheetData>
  <sheetProtection formatColumns="0" formatRows="0"/>
  <pageMargins left="0.7" right="0.7" top="0.75" bottom="0.75" header="0.3" footer="0.3"/>
  <pageSetup paperSize="9" scale="48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A8DD-92BA-474C-A735-64337C873501}">
  <sheetPr codeName="Blad7"/>
  <dimension ref="A4:L15"/>
  <sheetViews>
    <sheetView topLeftCell="M1" workbookViewId="0"/>
  </sheetViews>
  <sheetFormatPr baseColWidth="10" defaultColWidth="8.83203125" defaultRowHeight="15" x14ac:dyDescent="0.2"/>
  <cols>
    <col min="1" max="1" width="44.5" style="2" hidden="1" customWidth="1"/>
    <col min="2" max="2" width="18.5" style="2" hidden="1" customWidth="1"/>
    <col min="3" max="3" width="23.83203125" style="2" hidden="1" customWidth="1"/>
    <col min="4" max="4" width="10.1640625" style="2" hidden="1" customWidth="1"/>
    <col min="5" max="5" width="11.5" style="2" hidden="1" customWidth="1"/>
    <col min="6" max="8" width="28.1640625" style="2" hidden="1" customWidth="1"/>
    <col min="9" max="10" width="12.5" style="2" hidden="1" customWidth="1"/>
    <col min="11" max="11" width="8.83203125" style="2" hidden="1" customWidth="1"/>
    <col min="12" max="12" width="23.5" style="2" hidden="1" customWidth="1"/>
    <col min="13" max="16384" width="8.83203125" style="2"/>
  </cols>
  <sheetData>
    <row r="4" spans="1:12" x14ac:dyDescent="0.2">
      <c r="A4" s="56" t="s">
        <v>38</v>
      </c>
      <c r="D4" s="56" t="s">
        <v>52</v>
      </c>
      <c r="E4" s="56" t="s">
        <v>53</v>
      </c>
      <c r="F4" s="56" t="s">
        <v>158</v>
      </c>
      <c r="G4" s="56" t="s">
        <v>265</v>
      </c>
      <c r="H4" s="56" t="s">
        <v>266</v>
      </c>
      <c r="I4" s="56" t="s">
        <v>267</v>
      </c>
      <c r="J4" s="56" t="s">
        <v>268</v>
      </c>
    </row>
    <row r="5" spans="1:12" x14ac:dyDescent="0.2">
      <c r="A5" s="2" t="str">
        <f>B5&amp;" "&amp;C5</f>
        <v>Sociale huur (tot € 900,-)</v>
      </c>
      <c r="B5" s="2" t="s">
        <v>156</v>
      </c>
      <c r="C5" s="2" t="s">
        <v>269</v>
      </c>
      <c r="D5" s="2" t="s">
        <v>167</v>
      </c>
      <c r="E5" s="2" t="s">
        <v>270</v>
      </c>
      <c r="F5" s="2" t="s">
        <v>157</v>
      </c>
      <c r="G5" s="2" t="s">
        <v>271</v>
      </c>
      <c r="H5" s="2" t="s">
        <v>125</v>
      </c>
      <c r="I5" s="58" t="s">
        <v>162</v>
      </c>
      <c r="J5" s="2" t="s">
        <v>92</v>
      </c>
      <c r="L5" s="2" t="str">
        <f>$H$5&amp;" "&amp;LOWER(I5)</f>
        <v>Autoparkeren ondergronds</v>
      </c>
    </row>
    <row r="6" spans="1:12" x14ac:dyDescent="0.2">
      <c r="A6" s="2" t="str">
        <f>B6&amp;" "&amp;C6</f>
        <v>Middenhuur (van € 900 tot € 1.184)</v>
      </c>
      <c r="B6" s="2" t="s">
        <v>272</v>
      </c>
      <c r="C6" s="2" t="s">
        <v>273</v>
      </c>
      <c r="D6" s="2" t="s">
        <v>168</v>
      </c>
      <c r="E6" s="2" t="s">
        <v>274</v>
      </c>
      <c r="F6" s="2" t="s">
        <v>158</v>
      </c>
      <c r="G6" s="2" t="s">
        <v>200</v>
      </c>
      <c r="H6" s="2" t="s">
        <v>126</v>
      </c>
      <c r="I6" s="58" t="s">
        <v>163</v>
      </c>
      <c r="J6" s="2" t="s">
        <v>91</v>
      </c>
      <c r="L6" s="2" t="str">
        <f>$H$5&amp;" "&amp;LOWER(I6)</f>
        <v>Autoparkeren bovengronds</v>
      </c>
    </row>
    <row r="7" spans="1:12" x14ac:dyDescent="0.2">
      <c r="A7" s="2" t="str">
        <f t="shared" ref="A7:A14" si="0">B7&amp;" "&amp;C7</f>
        <v>Dure huur (vanaf € 1.184)</v>
      </c>
      <c r="B7" s="2" t="s">
        <v>275</v>
      </c>
      <c r="C7" s="2" t="s">
        <v>276</v>
      </c>
      <c r="D7" s="2" t="s">
        <v>77</v>
      </c>
      <c r="E7" s="2" t="s">
        <v>277</v>
      </c>
      <c r="F7" s="2" t="s">
        <v>159</v>
      </c>
      <c r="G7" s="2" t="s">
        <v>201</v>
      </c>
      <c r="H7" s="2" t="s">
        <v>77</v>
      </c>
      <c r="I7" s="58" t="s">
        <v>164</v>
      </c>
      <c r="J7" s="2" t="s">
        <v>77</v>
      </c>
      <c r="L7" s="2" t="str">
        <f>$H$5&amp;" "&amp;LOWER(I7)</f>
        <v>Autoparkeren gemengd</v>
      </c>
    </row>
    <row r="8" spans="1:12" x14ac:dyDescent="0.2">
      <c r="A8" s="2" t="s">
        <v>77</v>
      </c>
      <c r="B8" s="2" t="s">
        <v>77</v>
      </c>
      <c r="E8" s="2" t="s">
        <v>278</v>
      </c>
      <c r="F8" s="2" t="s">
        <v>160</v>
      </c>
      <c r="G8" s="2" t="s">
        <v>202</v>
      </c>
      <c r="I8" s="58" t="s">
        <v>165</v>
      </c>
      <c r="L8" s="2" t="str">
        <f>$H$5&amp;" "&amp;LOWER(I8)</f>
        <v>Autoparkeren maaiveld</v>
      </c>
    </row>
    <row r="9" spans="1:12" x14ac:dyDescent="0.2">
      <c r="A9" s="56" t="s">
        <v>80</v>
      </c>
      <c r="E9" s="2" t="s">
        <v>279</v>
      </c>
      <c r="F9" s="2" t="s">
        <v>161</v>
      </c>
      <c r="G9" s="2" t="s">
        <v>203</v>
      </c>
      <c r="I9" s="2" t="s">
        <v>77</v>
      </c>
      <c r="L9" s="2" t="str">
        <f>$H$6&amp;" "&amp;LOWER(I5)</f>
        <v>Fietsparkeren ondergronds</v>
      </c>
    </row>
    <row r="10" spans="1:12" x14ac:dyDescent="0.2">
      <c r="A10" s="2" t="str">
        <f t="shared" si="0"/>
        <v>Sociale koop (tot € 240.000)</v>
      </c>
      <c r="B10" s="2" t="s">
        <v>280</v>
      </c>
      <c r="C10" s="2" t="s">
        <v>281</v>
      </c>
      <c r="E10" s="2" t="s">
        <v>282</v>
      </c>
      <c r="F10" s="2" t="s">
        <v>77</v>
      </c>
      <c r="G10" s="2" t="s">
        <v>77</v>
      </c>
      <c r="L10" s="2" t="str">
        <f>$H$6&amp;" "&amp;LOWER(I6)</f>
        <v>Fietsparkeren bovengronds</v>
      </c>
    </row>
    <row r="11" spans="1:12" x14ac:dyDescent="0.2">
      <c r="A11" s="2" t="str">
        <f t="shared" si="0"/>
        <v>Lage middeldure koop (van € 240.000 tot € 285.000)</v>
      </c>
      <c r="B11" s="2" t="s">
        <v>283</v>
      </c>
      <c r="C11" s="2" t="s">
        <v>284</v>
      </c>
      <c r="E11" s="2" t="s">
        <v>285</v>
      </c>
      <c r="L11" s="2" t="str">
        <f>$H$6&amp;" "&amp;LOWER(I7)</f>
        <v>Fietsparkeren gemengd</v>
      </c>
    </row>
    <row r="12" spans="1:12" x14ac:dyDescent="0.2">
      <c r="A12" s="2" t="str">
        <f t="shared" si="0"/>
        <v>Midden middeldure koop (van € 285.000 tot € 330.000)</v>
      </c>
      <c r="B12" s="2" t="s">
        <v>286</v>
      </c>
      <c r="C12" s="2" t="s">
        <v>287</v>
      </c>
      <c r="E12" s="2" t="s">
        <v>288</v>
      </c>
      <c r="L12" s="2" t="str">
        <f>$H$6&amp;" "&amp;LOWER(I8)</f>
        <v>Fietsparkeren maaiveld</v>
      </c>
    </row>
    <row r="13" spans="1:12" x14ac:dyDescent="0.2">
      <c r="A13" s="2" t="str">
        <f>B13&amp;" "&amp;C13</f>
        <v>Hoge middeldure koop (van € 330.000 tot € 405.000)</v>
      </c>
      <c r="B13" s="2" t="s">
        <v>289</v>
      </c>
      <c r="C13" s="2" t="s">
        <v>290</v>
      </c>
      <c r="E13" s="2" t="s">
        <v>161</v>
      </c>
      <c r="L13" s="2" t="str">
        <f>LOWER(I9)</f>
        <v>type invullen</v>
      </c>
    </row>
    <row r="14" spans="1:12" x14ac:dyDescent="0.2">
      <c r="A14" s="2" t="str">
        <f t="shared" si="0"/>
        <v>Dure koop (vanaf € 405.000)</v>
      </c>
      <c r="B14" s="2" t="s">
        <v>291</v>
      </c>
      <c r="C14" s="2" t="s">
        <v>292</v>
      </c>
      <c r="E14" s="2" t="s">
        <v>77</v>
      </c>
    </row>
    <row r="15" spans="1:12" x14ac:dyDescent="0.2">
      <c r="A15" s="2" t="s">
        <v>77</v>
      </c>
    </row>
  </sheetData>
  <sheetProtection formatColumns="0" formatRow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fc490a-fb1a-47b9-a9d0-bac89fbd2448">
      <Terms xmlns="http://schemas.microsoft.com/office/infopath/2007/PartnerControls"/>
    </lcf76f155ced4ddcb4097134ff3c332f>
    <TaxCatchAll xmlns="6f8e48d7-e7b6-48a0-9308-35742fedc8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6DB926E48F44C9EDEB8791A023BAC" ma:contentTypeVersion="15" ma:contentTypeDescription="Een nieuw document maken." ma:contentTypeScope="" ma:versionID="86574a0f22ab50fd61d37e6af39f8e42">
  <xsd:schema xmlns:xsd="http://www.w3.org/2001/XMLSchema" xmlns:xs="http://www.w3.org/2001/XMLSchema" xmlns:p="http://schemas.microsoft.com/office/2006/metadata/properties" xmlns:ns2="06fc490a-fb1a-47b9-a9d0-bac89fbd2448" xmlns:ns3="6f8e48d7-e7b6-48a0-9308-35742fedc876" targetNamespace="http://schemas.microsoft.com/office/2006/metadata/properties" ma:root="true" ma:fieldsID="bd3645a326d839ba9ff0fdd876700ef7" ns2:_="" ns3:_="">
    <xsd:import namespace="06fc490a-fb1a-47b9-a9d0-bac89fbd2448"/>
    <xsd:import namespace="6f8e48d7-e7b6-48a0-9308-35742fedc8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c490a-fb1a-47b9-a9d0-bac89fbd24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7e6afc-38a7-44b9-886f-0d8a58148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e48d7-e7b6-48a0-9308-35742fedc8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a67de73-c09d-4529-9161-37eb33f74c4e}" ma:internalName="TaxCatchAll" ma:showField="CatchAllData" ma:web="6f8e48d7-e7b6-48a0-9308-35742fedc8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16C4F-B5FC-42E3-BA73-F416F715D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87F69-43DB-417D-A15F-21172B2FB786}">
  <ds:schemaRefs>
    <ds:schemaRef ds:uri="http://schemas.microsoft.com/office/2006/metadata/properties"/>
    <ds:schemaRef ds:uri="http://schemas.microsoft.com/office/infopath/2007/PartnerControls"/>
    <ds:schemaRef ds:uri="06fc490a-fb1a-47b9-a9d0-bac89fbd2448"/>
    <ds:schemaRef ds:uri="6f8e48d7-e7b6-48a0-9308-35742fedc876"/>
  </ds:schemaRefs>
</ds:datastoreItem>
</file>

<file path=customXml/itemProps3.xml><?xml version="1.0" encoding="utf-8"?>
<ds:datastoreItem xmlns:ds="http://schemas.openxmlformats.org/officeDocument/2006/customXml" ds:itemID="{222F1EBE-1D8F-4DE7-8D8E-419AD6887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fc490a-fb1a-47b9-a9d0-bac89fbd2448"/>
    <ds:schemaRef ds:uri="6f8e48d7-e7b6-48a0-9308-35742fedc8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24</vt:i4>
      </vt:variant>
    </vt:vector>
  </HeadingPairs>
  <TitlesOfParts>
    <vt:vector size="36" baseType="lpstr">
      <vt:lpstr>Invul toelichting</vt:lpstr>
      <vt:lpstr>Titelblad</vt:lpstr>
      <vt:lpstr>Invulblad WB</vt:lpstr>
      <vt:lpstr>Invulblad NWB</vt:lpstr>
      <vt:lpstr>Invulblad grex</vt:lpstr>
      <vt:lpstr>Dashboard project</vt:lpstr>
      <vt:lpstr>Dashboard per categorie</vt:lpstr>
      <vt:lpstr>Kengetallen</vt:lpstr>
      <vt:lpstr>hulp</vt:lpstr>
      <vt:lpstr>Kladblok 1</vt:lpstr>
      <vt:lpstr>Kladblok 2</vt:lpstr>
      <vt:lpstr>Kladblok 3</vt:lpstr>
      <vt:lpstr>'Dashboard per categorie'!Afdrukbereik</vt:lpstr>
      <vt:lpstr>'Dashboard project'!Afdrukbereik</vt:lpstr>
      <vt:lpstr>'Invulblad NWB'!Afdrukbereik</vt:lpstr>
      <vt:lpstr>'Invulblad WB'!Afdrukbereik</vt:lpstr>
      <vt:lpstr>Kengetallen!Afdrukbereik</vt:lpstr>
      <vt:lpstr>Titelblad!Afdrukbereik</vt:lpstr>
      <vt:lpstr>EndColTF</vt:lpstr>
      <vt:lpstr>Huur_AantalRegels</vt:lpstr>
      <vt:lpstr>Huur_Eind</vt:lpstr>
      <vt:lpstr>Huur_Start</vt:lpstr>
      <vt:lpstr>HuurRegel</vt:lpstr>
      <vt:lpstr>Koop_AantalRegels</vt:lpstr>
      <vt:lpstr>Koop_Eind</vt:lpstr>
      <vt:lpstr>Koop_Start</vt:lpstr>
      <vt:lpstr>Koopregel</vt:lpstr>
      <vt:lpstr>NWB_AantalRegels</vt:lpstr>
      <vt:lpstr>NWB_Eind</vt:lpstr>
      <vt:lpstr>NWB_Start</vt:lpstr>
      <vt:lpstr>NWBRegel</vt:lpstr>
      <vt:lpstr>ParkeerRegel</vt:lpstr>
      <vt:lpstr>Parkeren_AantalRegels</vt:lpstr>
      <vt:lpstr>Parkeren_Eind</vt:lpstr>
      <vt:lpstr>Parkeren_Start</vt:lpstr>
      <vt:lpstr>StartColTF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Ferry Kaal</dc:creator>
  <cp:keywords/>
  <dc:description/>
  <cp:lastModifiedBy>Bente Nijland</cp:lastModifiedBy>
  <cp:revision/>
  <dcterms:created xsi:type="dcterms:W3CDTF">2024-05-24T12:41:34Z</dcterms:created>
  <dcterms:modified xsi:type="dcterms:W3CDTF">2025-12-19T13:23:57Z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0x01010043B6DB926E48F44C9EDEB8791A023BAC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